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35" windowWidth="15480" windowHeight="5445" activeTab="0"/>
  </bookViews>
  <sheets>
    <sheet name="Summary" sheetId="1" r:id="rId1"/>
    <sheet name="Chart - Cumulative" sheetId="2" r:id="rId2"/>
    <sheet name="Package Calc" sheetId="3" r:id="rId3"/>
    <sheet name="High Emissions Package Calc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BioIGCCbuilds">'[2]Link'!$I$272:$O$275</definedName>
    <definedName name="BituminousCons">'[4]Global Analysis'!$A$378:$G$404</definedName>
    <definedName name="captyp">#REF!</definedName>
    <definedName name="carbon">#REF!</definedName>
    <definedName name="ccbuilds">'[2]Link'!$A$186:$G$189</definedName>
    <definedName name="CNVCap">#REF!</definedName>
    <definedName name="CNVCapAdd">#REF!</definedName>
    <definedName name="CNVGen">#REF!</definedName>
    <definedName name="co2emission">'[2]Link'!$A$444:$G$447</definedName>
    <definedName name="coalbuilds">'[2]Link'!$A$229:$G$232</definedName>
    <definedName name="coaligccbuilds">'[2]Link'!$A$272:$G$275</definedName>
    <definedName name="ctbuilds">'[2]Link'!$I$186:$O$189</definedName>
    <definedName name="demand">'[1]Link'!$I$530:$O$533</definedName>
    <definedName name="EI">#REF!</definedName>
    <definedName name="ercot">#REF!</definedName>
    <definedName name="fuelcellbuilds">'[2]Link'!$I$315:$O$318</definedName>
    <definedName name="fuels">#REF!</definedName>
    <definedName name="gas">#REF!</definedName>
    <definedName name="hg">#REF!</definedName>
    <definedName name="Hgemission">'[2]Link'!$I$444:$O$447</definedName>
    <definedName name="hydrobuilds">'[2]Link'!$A$358:$G$361</definedName>
    <definedName name="lfgbuilds">'[2]Link'!$A$315:$G$318</definedName>
    <definedName name="LigniteCons">'[4]Global Analysis'!$I$378:$O$404</definedName>
    <definedName name="loadshares">'[2]Link'!$I$536:$O$548</definedName>
    <definedName name="MAPPCap">#REF!</definedName>
    <definedName name="MAPPCapAdd">#REF!</definedName>
    <definedName name="MAPPGen">#REF!</definedName>
    <definedName name="nox">#REF!</definedName>
    <definedName name="noxemission">'[2]Link'!$A$487:$G$490</definedName>
    <definedName name="nukeuprate">'[2]Link'!$A$401:$G$404</definedName>
    <definedName name="peakshares">'[2]Link'!$A$536:$G$548</definedName>
    <definedName name="pjm">#REF!</definedName>
    <definedName name="_xlnm.Print_Area" localSheetId="3">'High Emissions Package Calc'!$A$2:$N$49</definedName>
    <definedName name="_xlnm.Print_Area" localSheetId="2">'Package Calc'!$A$2:$N$49</definedName>
    <definedName name="pvbuilds">'[2]Link'!$I$358:$O$361</definedName>
    <definedName name="region">'[3]Regions'!$A:$B</definedName>
    <definedName name="retirements">'[2]Link'!$I$143:$O$146</definedName>
    <definedName name="run2">'[5]Supply PivotTables'!$A$4:$J$10</definedName>
    <definedName name="so2emission">'[2]Link'!$I$487:$O$490</definedName>
    <definedName name="SubBitCons">'[4]Global Analysis'!$A$409:$G$435</definedName>
    <definedName name="sulf">#REF!</definedName>
    <definedName name="sysCap">#REF!</definedName>
    <definedName name="SysCapAdd">#REF!</definedName>
    <definedName name="sysGen">#REF!</definedName>
    <definedName name="unit">#REF!</definedName>
    <definedName name="wecc">#REF!</definedName>
    <definedName name="wgtcapprice">'[2]Link'!$A$57:$G$60</definedName>
    <definedName name="wgtenergyprice">'[2]Link'!$I$57:$O$60</definedName>
    <definedName name="windbuilds">'[2]Link'!$I$229:$O$232</definedName>
  </definedNames>
  <calcPr fullCalcOnLoad="1"/>
</workbook>
</file>

<file path=xl/sharedStrings.xml><?xml version="1.0" encoding="utf-8"?>
<sst xmlns="http://schemas.openxmlformats.org/spreadsheetml/2006/main" count="62" uniqueCount="32">
  <si>
    <t>RGGI Offset Summary</t>
  </si>
  <si>
    <t>from results presented at Sept. 21st Stakeholders' Meeting</t>
  </si>
  <si>
    <t>Package</t>
  </si>
  <si>
    <t>Package w/ US/CAN</t>
  </si>
  <si>
    <t>High Emissions Package</t>
  </si>
  <si>
    <t>High Emissions Package w/ US/CAN</t>
  </si>
  <si>
    <t>Package w/ 2x Efficiency</t>
  </si>
  <si>
    <t>Offsets Consumed in Each Year (Million Tons CO2)</t>
  </si>
  <si>
    <r>
      <t>Cumulative</t>
    </r>
    <r>
      <rPr>
        <b/>
        <sz val="10"/>
        <color indexed="12"/>
        <rFont val="Arial"/>
        <family val="2"/>
      </rPr>
      <t xml:space="preserve"> Offsets Consumed (Million Tons CO2)</t>
    </r>
  </si>
  <si>
    <t>REDUCTIONS NEEDED / OFFSETS ALLOWED</t>
  </si>
  <si>
    <t>BAU</t>
  </si>
  <si>
    <t>RGGI PACKAGE</t>
  </si>
  <si>
    <t>REDUCTIONS NEEDED</t>
  </si>
  <si>
    <t>CUMMULATIVE REDUCTIONS NEEDED</t>
  </si>
  <si>
    <t>AVG REDUCTIONS 
/ YEAR 
(since 2008)</t>
  </si>
  <si>
    <t>50%
OFFSETS</t>
  </si>
  <si>
    <t>CUMMULATIVE ALLOWABLE OFFSETS</t>
  </si>
  <si>
    <t>AVG ALLOWABLE OFFSETS 
/ YEAR 
(since 2008)</t>
  </si>
  <si>
    <t>ANNUAL % OF CAP</t>
  </si>
  <si>
    <t>AVG 
% OF CAP</t>
  </si>
  <si>
    <t>Reference Case</t>
  </si>
  <si>
    <t>Package Cap</t>
  </si>
  <si>
    <t>Old Package Cap</t>
  </si>
  <si>
    <t xml:space="preserve">OFFSETS / YR - </t>
  </si>
  <si>
    <t>PHASE 1: 2008-2013</t>
  </si>
  <si>
    <t>PHASE 2: 2014-2020</t>
  </si>
  <si>
    <t>PHASE 3: 2021-2024</t>
  </si>
  <si>
    <t>High Emissions Ref Case</t>
  </si>
  <si>
    <r>
      <t xml:space="preserve">ANNUAL % OF CAP ADJ </t>
    </r>
    <r>
      <rPr>
        <sz val="9"/>
        <color indexed="10"/>
        <rFont val="Arial"/>
        <family val="2"/>
      </rPr>
      <t>(+13.9 million tons)</t>
    </r>
  </si>
  <si>
    <r>
      <t xml:space="preserve">AVG 
% OF CAP ADJ </t>
    </r>
    <r>
      <rPr>
        <sz val="9"/>
        <color indexed="10"/>
        <rFont val="Arial"/>
        <family val="2"/>
      </rPr>
      <t>(+13.9 million tons)</t>
    </r>
  </si>
  <si>
    <r>
      <t>Emissions/Cap (Million Tons CO</t>
    </r>
    <r>
      <rPr>
        <b/>
        <vertAlign val="subscript"/>
        <sz val="14"/>
        <color indexed="9"/>
        <rFont val="Arial"/>
        <family val="2"/>
      </rPr>
      <t>2</t>
    </r>
    <r>
      <rPr>
        <b/>
        <sz val="14"/>
        <color indexed="9"/>
        <rFont val="Arial"/>
        <family val="2"/>
      </rPr>
      <t>)</t>
    </r>
  </si>
  <si>
    <t>Offsets Allowed in Each Year, Accounting for 50% Limit (Million Tons CO2)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</si>
</sst>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_);_(@_)"/>
    <numFmt numFmtId="173" formatCode="00000"/>
    <numFmt numFmtId="174" formatCode="0.0000"/>
    <numFmt numFmtId="175" formatCode="0.000"/>
    <numFmt numFmtId="176" formatCode="#,##0.0"/>
    <numFmt numFmtId="177" formatCode="#,##0.000_);\(#,##0.000\)"/>
    <numFmt numFmtId="178" formatCode="#,##0.0000_);\(#,##0.0000\)"/>
    <numFmt numFmtId="179" formatCode="_(* #,##0_);_(* \(#,##0\);_(* &quot;-&quot;?_);_(@_)"/>
    <numFmt numFmtId="180" formatCode="[$-409]dddd\,\ mmmm\ dd\,\ yyyy"/>
    <numFmt numFmtId="181" formatCode="#,##0.0_);\(#,##0.0\)"/>
    <numFmt numFmtId="182" formatCode="_(* #,##0.0000000_);_(* \(#,##0.0000000\);_(* &quot;-&quot;???????_);_(@_)"/>
    <numFmt numFmtId="183" formatCode="0.0000000"/>
    <numFmt numFmtId="184" formatCode="0.000000"/>
    <numFmt numFmtId="185" formatCode="0.00000"/>
    <numFmt numFmtId="186" formatCode="\1"/>
    <numFmt numFmtId="187" formatCode="0.0000000000"/>
    <numFmt numFmtId="188" formatCode="0.000000000"/>
    <numFmt numFmtId="189" formatCode="0.00000000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0%;\ 0%;\ \-"/>
    <numFmt numFmtId="193" formatCode="_(* #,##0.0000_);_(* \(#,##0.0000\);_(* &quot;-&quot;????_);_(@_)"/>
    <numFmt numFmtId="194" formatCode="&quot;$&quot;#,##0"/>
    <numFmt numFmtId="195" formatCode="#,##0.000"/>
    <numFmt numFmtId="196" formatCode="0.000%"/>
    <numFmt numFmtId="197" formatCode="#,##0.0000"/>
  </numFmts>
  <fonts count="21">
    <font>
      <sz val="10"/>
      <name val="Arial"/>
      <family val="0"/>
    </font>
    <font>
      <sz val="16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color indexed="62"/>
      <name val="Arial"/>
      <family val="2"/>
    </font>
    <font>
      <sz val="9"/>
      <color indexed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b/>
      <sz val="14"/>
      <color indexed="9"/>
      <name val="Arial"/>
      <family val="2"/>
    </font>
    <font>
      <b/>
      <vertAlign val="subscript"/>
      <sz val="14"/>
      <color indexed="9"/>
      <name val="Arial"/>
      <family val="2"/>
    </font>
    <font>
      <b/>
      <i/>
      <sz val="14"/>
      <color indexed="9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0"/>
      <color indexed="57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4" fontId="2" fillId="0" borderId="0" xfId="0" applyNumberFormat="1" applyFont="1" applyAlignment="1">
      <alignment/>
    </xf>
    <xf numFmtId="164" fontId="0" fillId="0" borderId="0" xfId="0" applyNumberFormat="1" applyAlignment="1">
      <alignment horizontal="center" vertical="center"/>
    </xf>
    <xf numFmtId="0" fontId="8" fillId="0" borderId="0" xfId="0" applyFont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3" fillId="2" borderId="2" xfId="0" applyFont="1" applyFill="1" applyBorder="1" applyAlignment="1">
      <alignment/>
    </xf>
    <xf numFmtId="0" fontId="13" fillId="2" borderId="3" xfId="0" applyFont="1" applyFill="1" applyBorder="1" applyAlignment="1">
      <alignment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/>
    </xf>
    <xf numFmtId="3" fontId="0" fillId="0" borderId="1" xfId="0" applyNumberFormat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10" fontId="11" fillId="0" borderId="1" xfId="0" applyNumberFormat="1" applyFont="1" applyBorder="1" applyAlignment="1">
      <alignment/>
    </xf>
    <xf numFmtId="10" fontId="12" fillId="0" borderId="1" xfId="0" applyNumberFormat="1" applyFont="1" applyBorder="1" applyAlignment="1">
      <alignment/>
    </xf>
    <xf numFmtId="0" fontId="16" fillId="0" borderId="7" xfId="0" applyFont="1" applyBorder="1" applyAlignment="1">
      <alignment horizontal="center"/>
    </xf>
    <xf numFmtId="164" fontId="16" fillId="0" borderId="7" xfId="0" applyNumberFormat="1" applyFont="1" applyBorder="1" applyAlignment="1">
      <alignment horizontal="center"/>
    </xf>
    <xf numFmtId="164" fontId="16" fillId="0" borderId="8" xfId="0" applyNumberFormat="1" applyFont="1" applyBorder="1" applyAlignment="1">
      <alignment horizontal="center"/>
    </xf>
    <xf numFmtId="164" fontId="17" fillId="0" borderId="9" xfId="0" applyNumberFormat="1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right"/>
    </xf>
    <xf numFmtId="1" fontId="0" fillId="0" borderId="0" xfId="0" applyNumberFormat="1" applyAlignment="1">
      <alignment/>
    </xf>
    <xf numFmtId="3" fontId="18" fillId="0" borderId="1" xfId="0" applyNumberFormat="1" applyFont="1" applyBorder="1" applyAlignment="1">
      <alignment/>
    </xf>
    <xf numFmtId="0" fontId="16" fillId="0" borderId="3" xfId="0" applyFont="1" applyBorder="1" applyAlignment="1">
      <alignment horizontal="center"/>
    </xf>
    <xf numFmtId="164" fontId="16" fillId="0" borderId="3" xfId="0" applyNumberFormat="1" applyFont="1" applyBorder="1" applyAlignment="1">
      <alignment horizontal="center"/>
    </xf>
    <xf numFmtId="164" fontId="16" fillId="0" borderId="10" xfId="0" applyNumberFormat="1" applyFont="1" applyBorder="1" applyAlignment="1">
      <alignment horizontal="center"/>
    </xf>
    <xf numFmtId="164" fontId="17" fillId="0" borderId="1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197" fontId="0" fillId="0" borderId="12" xfId="0" applyNumberFormat="1" applyFill="1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9" fillId="0" borderId="0" xfId="0" applyFont="1" applyAlignment="1">
      <alignment/>
    </xf>
    <xf numFmtId="3" fontId="3" fillId="3" borderId="1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19" fillId="0" borderId="14" xfId="0" applyFont="1" applyBorder="1" applyAlignment="1">
      <alignment/>
    </xf>
    <xf numFmtId="11" fontId="0" fillId="0" borderId="0" xfId="0" applyNumberFormat="1" applyAlignment="1">
      <alignment/>
    </xf>
    <xf numFmtId="0" fontId="0" fillId="0" borderId="14" xfId="0" applyBorder="1" applyAlignment="1">
      <alignment/>
    </xf>
    <xf numFmtId="0" fontId="15" fillId="2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.01625"/>
          <c:w val="0.9115"/>
          <c:h val="0.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Summary!$B$29</c:f>
              <c:strCache>
                <c:ptCount val="1"/>
                <c:pt idx="0">
                  <c:v>Package</c:v>
                </c:pt>
              </c:strCache>
            </c:strRef>
          </c:tx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Summary!$A$30:$A$36</c:f>
              <c:numCache>
                <c:ptCount val="7"/>
                <c:pt idx="0">
                  <c:v>2006</c:v>
                </c:pt>
                <c:pt idx="1">
                  <c:v>2009</c:v>
                </c:pt>
                <c:pt idx="2">
                  <c:v>2012</c:v>
                </c:pt>
                <c:pt idx="3">
                  <c:v>2015</c:v>
                </c:pt>
                <c:pt idx="4">
                  <c:v>2018</c:v>
                </c:pt>
                <c:pt idx="5">
                  <c:v>2021</c:v>
                </c:pt>
                <c:pt idx="6">
                  <c:v>2024</c:v>
                </c:pt>
              </c:numCache>
            </c:numRef>
          </c:cat>
          <c:val>
            <c:numRef>
              <c:f>Summary!$B$30:$B$36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3.6510000000000002</c:v>
                </c:pt>
                <c:pt idx="3">
                  <c:v>24.828</c:v>
                </c:pt>
                <c:pt idx="4">
                  <c:v>46.146</c:v>
                </c:pt>
                <c:pt idx="5">
                  <c:v>67.488</c:v>
                </c:pt>
                <c:pt idx="6">
                  <c:v>88.83</c:v>
                </c:pt>
              </c:numCache>
            </c:numRef>
          </c:val>
        </c:ser>
        <c:ser>
          <c:idx val="1"/>
          <c:order val="1"/>
          <c:tx>
            <c:strRef>
              <c:f>Summary!$C$29</c:f>
              <c:strCache>
                <c:ptCount val="1"/>
                <c:pt idx="0">
                  <c:v>Package w/ US/CAN</c:v>
                </c:pt>
              </c:strCache>
            </c:strRef>
          </c:tx>
          <c:spPr>
            <a:gradFill rotWithShape="1">
              <a:gsLst>
                <a:gs pos="0">
                  <a:srgbClr val="171746"/>
                </a:gs>
                <a:gs pos="50000">
                  <a:srgbClr val="333399"/>
                </a:gs>
                <a:gs pos="100000">
                  <a:srgbClr val="1717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Summary!$A$30:$A$36</c:f>
              <c:numCache>
                <c:ptCount val="7"/>
                <c:pt idx="0">
                  <c:v>2006</c:v>
                </c:pt>
                <c:pt idx="1">
                  <c:v>2009</c:v>
                </c:pt>
                <c:pt idx="2">
                  <c:v>2012</c:v>
                </c:pt>
                <c:pt idx="3">
                  <c:v>2015</c:v>
                </c:pt>
                <c:pt idx="4">
                  <c:v>2018</c:v>
                </c:pt>
                <c:pt idx="5">
                  <c:v>2021</c:v>
                </c:pt>
                <c:pt idx="6">
                  <c:v>2024</c:v>
                </c:pt>
              </c:numCache>
            </c:numRef>
          </c:cat>
          <c:val>
            <c:numRef>
              <c:f>Summary!$C$30:$C$36</c:f>
              <c:numCache>
                <c:ptCount val="7"/>
                <c:pt idx="0">
                  <c:v>0</c:v>
                </c:pt>
                <c:pt idx="1">
                  <c:v>3.6510000000000002</c:v>
                </c:pt>
                <c:pt idx="2">
                  <c:v>7.3020000000000005</c:v>
                </c:pt>
                <c:pt idx="3">
                  <c:v>31.482</c:v>
                </c:pt>
                <c:pt idx="4">
                  <c:v>55.665</c:v>
                </c:pt>
                <c:pt idx="5">
                  <c:v>96.64500000000001</c:v>
                </c:pt>
                <c:pt idx="6">
                  <c:v>137.625</c:v>
                </c:pt>
              </c:numCache>
            </c:numRef>
          </c:val>
        </c:ser>
        <c:ser>
          <c:idx val="2"/>
          <c:order val="2"/>
          <c:tx>
            <c:strRef>
              <c:f>Summary!$D$29</c:f>
              <c:strCache>
                <c:ptCount val="1"/>
                <c:pt idx="0">
                  <c:v>High Emissions Package</c:v>
                </c:pt>
              </c:strCache>
            </c:strRef>
          </c:tx>
          <c:spPr>
            <a:gradFill rotWithShape="1">
              <a:gsLst>
                <a:gs pos="0">
                  <a:srgbClr val="755E00"/>
                </a:gs>
                <a:gs pos="50000">
                  <a:srgbClr val="FFCC00"/>
                </a:gs>
                <a:gs pos="100000">
                  <a:srgbClr val="755E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Summary!$A$30:$A$36</c:f>
              <c:numCache>
                <c:ptCount val="7"/>
                <c:pt idx="0">
                  <c:v>2006</c:v>
                </c:pt>
                <c:pt idx="1">
                  <c:v>2009</c:v>
                </c:pt>
                <c:pt idx="2">
                  <c:v>2012</c:v>
                </c:pt>
                <c:pt idx="3">
                  <c:v>2015</c:v>
                </c:pt>
                <c:pt idx="4">
                  <c:v>2018</c:v>
                </c:pt>
                <c:pt idx="5">
                  <c:v>2021</c:v>
                </c:pt>
                <c:pt idx="6">
                  <c:v>2024</c:v>
                </c:pt>
              </c:numCache>
            </c:numRef>
          </c:cat>
          <c:val>
            <c:numRef>
              <c:f>Summary!$D$30:$D$36</c:f>
              <c:numCache>
                <c:ptCount val="7"/>
                <c:pt idx="0">
                  <c:v>0</c:v>
                </c:pt>
                <c:pt idx="1">
                  <c:v>20.985</c:v>
                </c:pt>
                <c:pt idx="2">
                  <c:v>42.219</c:v>
                </c:pt>
                <c:pt idx="3">
                  <c:v>63.927</c:v>
                </c:pt>
                <c:pt idx="4">
                  <c:v>85.791</c:v>
                </c:pt>
                <c:pt idx="5">
                  <c:v>132.981</c:v>
                </c:pt>
                <c:pt idx="6">
                  <c:v>181.971</c:v>
                </c:pt>
              </c:numCache>
            </c:numRef>
          </c:val>
        </c:ser>
        <c:ser>
          <c:idx val="3"/>
          <c:order val="3"/>
          <c:tx>
            <c:strRef>
              <c:f>Summary!$E$29</c:f>
              <c:strCache>
                <c:ptCount val="1"/>
                <c:pt idx="0">
                  <c:v>High Emissions Package w/ US/CAN</c:v>
                </c:pt>
              </c:strCache>
            </c:strRef>
          </c:tx>
          <c:spPr>
            <a:gradFill rotWithShape="1">
              <a:gsLst>
                <a:gs pos="0">
                  <a:srgbClr val="461700"/>
                </a:gs>
                <a:gs pos="50000">
                  <a:srgbClr val="993300"/>
                </a:gs>
                <a:gs pos="100000">
                  <a:srgbClr val="4617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Summary!$A$30:$A$36</c:f>
              <c:numCache>
                <c:ptCount val="7"/>
                <c:pt idx="0">
                  <c:v>2006</c:v>
                </c:pt>
                <c:pt idx="1">
                  <c:v>2009</c:v>
                </c:pt>
                <c:pt idx="2">
                  <c:v>2012</c:v>
                </c:pt>
                <c:pt idx="3">
                  <c:v>2015</c:v>
                </c:pt>
                <c:pt idx="4">
                  <c:v>2018</c:v>
                </c:pt>
                <c:pt idx="5">
                  <c:v>2021</c:v>
                </c:pt>
                <c:pt idx="6">
                  <c:v>2024</c:v>
                </c:pt>
              </c:numCache>
            </c:numRef>
          </c:cat>
          <c:val>
            <c:numRef>
              <c:f>Summary!$E$30:$E$36</c:f>
              <c:numCache>
                <c:ptCount val="7"/>
                <c:pt idx="0">
                  <c:v>0</c:v>
                </c:pt>
                <c:pt idx="1">
                  <c:v>21.234</c:v>
                </c:pt>
                <c:pt idx="2">
                  <c:v>42.792</c:v>
                </c:pt>
                <c:pt idx="3">
                  <c:v>117.882</c:v>
                </c:pt>
                <c:pt idx="4">
                  <c:v>192.972</c:v>
                </c:pt>
                <c:pt idx="5">
                  <c:v>289.332</c:v>
                </c:pt>
                <c:pt idx="6">
                  <c:v>385.692</c:v>
                </c:pt>
              </c:numCache>
            </c:numRef>
          </c:val>
        </c:ser>
        <c:ser>
          <c:idx val="4"/>
          <c:order val="4"/>
          <c:tx>
            <c:strRef>
              <c:f>Summary!$F$29</c:f>
              <c:strCache>
                <c:ptCount val="1"/>
                <c:pt idx="0">
                  <c:v>Package w/ 2x Efficiency</c:v>
                </c:pt>
              </c:strCache>
            </c:strRef>
          </c:tx>
          <c:spPr>
            <a:gradFill rotWithShape="1">
              <a:gsLst>
                <a:gs pos="0">
                  <a:srgbClr val="5E755E"/>
                </a:gs>
                <a:gs pos="50000">
                  <a:srgbClr val="CCFFCC"/>
                </a:gs>
                <a:gs pos="100000">
                  <a:srgbClr val="5E75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Summary!$A$30:$A$36</c:f>
              <c:numCache>
                <c:ptCount val="7"/>
                <c:pt idx="0">
                  <c:v>2006</c:v>
                </c:pt>
                <c:pt idx="1">
                  <c:v>2009</c:v>
                </c:pt>
                <c:pt idx="2">
                  <c:v>2012</c:v>
                </c:pt>
                <c:pt idx="3">
                  <c:v>2015</c:v>
                </c:pt>
                <c:pt idx="4">
                  <c:v>2018</c:v>
                </c:pt>
                <c:pt idx="5">
                  <c:v>2021</c:v>
                </c:pt>
                <c:pt idx="6">
                  <c:v>2024</c:v>
                </c:pt>
              </c:numCache>
            </c:numRef>
          </c:cat>
          <c:val>
            <c:numRef>
              <c:f>Summary!$F$30:$F$36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9.600000000000001</c:v>
                </c:pt>
                <c:pt idx="5">
                  <c:v>28.11</c:v>
                </c:pt>
                <c:pt idx="6">
                  <c:v>46.62</c:v>
                </c:pt>
              </c:numCache>
            </c:numRef>
          </c:val>
        </c:ser>
        <c:axId val="39438783"/>
        <c:axId val="19404728"/>
      </c:barChart>
      <c:catAx>
        <c:axId val="39438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04728"/>
        <c:crosses val="autoZero"/>
        <c:auto val="1"/>
        <c:lblOffset val="100"/>
        <c:noMultiLvlLbl val="0"/>
      </c:catAx>
      <c:valAx>
        <c:axId val="19404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Million Tons CO2 (Cumulative)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4387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85"/>
          <c:y val="0.07025"/>
          <c:w val="0.43625"/>
          <c:h val="0.30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Cap Level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'Package Calc'!$A$5:$A$21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'Package Calc'!$C$5:$C$21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v>Reductions Needed (BAU - Cap)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'Package Calc'!$A$5:$A$21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'Package Calc'!$D$5:$D$21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overlap val="100"/>
        <c:gapWidth val="20"/>
        <c:axId val="40424825"/>
        <c:axId val="28279106"/>
      </c:barChart>
      <c:catAx>
        <c:axId val="40424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79106"/>
        <c:crosses val="autoZero"/>
        <c:auto val="0"/>
        <c:lblOffset val="100"/>
        <c:noMultiLvlLbl val="0"/>
      </c:catAx>
      <c:valAx>
        <c:axId val="28279106"/>
        <c:scaling>
          <c:orientation val="minMax"/>
          <c:max val="150000000"/>
          <c:min val="1000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0424825"/>
        <c:crossesAt val="1"/>
        <c:crossBetween val="between"/>
        <c:dispUnits/>
        <c:majorUnit val="10000000"/>
        <c:minorUnit val="5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Cap Level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'High Emissions Package Calc'!$A$5:$A$21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'High Emissions Package Calc'!$C$5:$C$21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v>Reductions Needed (BAU - Cap)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'High Emissions Package Calc'!$A$5:$A$21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'High Emissions Package Calc'!$D$5:$D$21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overlap val="100"/>
        <c:gapWidth val="20"/>
        <c:axId val="53185363"/>
        <c:axId val="8906220"/>
      </c:barChart>
      <c:catAx>
        <c:axId val="53185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06220"/>
        <c:crosses val="autoZero"/>
        <c:auto val="0"/>
        <c:lblOffset val="100"/>
        <c:noMultiLvlLbl val="0"/>
      </c:catAx>
      <c:valAx>
        <c:axId val="8906220"/>
        <c:scaling>
          <c:orientation val="minMax"/>
          <c:max val="150000000"/>
          <c:min val="1000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3185363"/>
        <c:crossesAt val="1"/>
        <c:crossBetween val="between"/>
        <c:dispUnits/>
        <c:majorUnit val="10000000"/>
        <c:minorUnit val="5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</cdr:x>
      <cdr:y>0.4555</cdr:y>
    </cdr:from>
    <cdr:to>
      <cdr:x>0.989</cdr:x>
      <cdr:y>0.4555</cdr:y>
    </cdr:to>
    <cdr:sp>
      <cdr:nvSpPr>
        <cdr:cNvPr id="1" name="Line 1"/>
        <cdr:cNvSpPr>
          <a:spLocks/>
        </cdr:cNvSpPr>
      </cdr:nvSpPr>
      <cdr:spPr>
        <a:xfrm>
          <a:off x="876300" y="1971675"/>
          <a:ext cx="848677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22</xdr:row>
      <xdr:rowOff>57150</xdr:rowOff>
    </xdr:from>
    <xdr:to>
      <xdr:col>9</xdr:col>
      <xdr:colOff>1104900</xdr:colOff>
      <xdr:row>49</xdr:row>
      <xdr:rowOff>19050</xdr:rowOff>
    </xdr:to>
    <xdr:graphicFrame>
      <xdr:nvGraphicFramePr>
        <xdr:cNvPr id="1" name="Chart 1"/>
        <xdr:cNvGraphicFramePr/>
      </xdr:nvGraphicFramePr>
      <xdr:xfrm>
        <a:off x="38100" y="5562600"/>
        <a:ext cx="94678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</cdr:x>
      <cdr:y>0.4555</cdr:y>
    </cdr:from>
    <cdr:to>
      <cdr:x>0.989</cdr:x>
      <cdr:y>0.4555</cdr:y>
    </cdr:to>
    <cdr:sp>
      <cdr:nvSpPr>
        <cdr:cNvPr id="1" name="Line 1"/>
        <cdr:cNvSpPr>
          <a:spLocks/>
        </cdr:cNvSpPr>
      </cdr:nvSpPr>
      <cdr:spPr>
        <a:xfrm>
          <a:off x="876300" y="1971675"/>
          <a:ext cx="848677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22</xdr:row>
      <xdr:rowOff>57150</xdr:rowOff>
    </xdr:from>
    <xdr:to>
      <xdr:col>9</xdr:col>
      <xdr:colOff>1104900</xdr:colOff>
      <xdr:row>49</xdr:row>
      <xdr:rowOff>19050</xdr:rowOff>
    </xdr:to>
    <xdr:graphicFrame>
      <xdr:nvGraphicFramePr>
        <xdr:cNvPr id="1" name="Chart 1"/>
        <xdr:cNvGraphicFramePr/>
      </xdr:nvGraphicFramePr>
      <xdr:xfrm>
        <a:off x="38100" y="5495925"/>
        <a:ext cx="94678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CF\Projects\CCAP%20-%20CT%20GHG\Results\Global%20-%20CCAP%20CT%20GHG%20Reference%2012_fixed%20RPS%20and%20cf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CF\Projects\CCAP%20-%20CT%20GHG\Results\Global%20-%20CCAP%20CT%20GHG%20Reference%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3013\Local%20Settings\Temporary%20Internet%20Files\OLK514\Output-1\Output%20Template_11.10.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4029\My%20Documents\Current%20Work\NETL\Output\MEHC-Results%20Templat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4029\My%20Documents\Current%20Work\NETL\Output\Coal%20Produc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tput"/>
      <sheetName val="Output paste"/>
      <sheetName val="Link"/>
      <sheetName val="Incremental Nuclear"/>
      <sheetName val="Input_Sheet"/>
      <sheetName val="Results - Capacity Additions"/>
      <sheetName val="Results - Emissions"/>
      <sheetName val="Results - Energy Prices"/>
      <sheetName val="Results - Allowance Prices"/>
      <sheetName val="Results - Gen (sep sheet)"/>
    </sheetNames>
    <sheetDataSet>
      <sheetData sheetId="2">
        <row r="530">
          <cell r="I530" t="str">
            <v>Connecticut</v>
          </cell>
          <cell r="J530">
            <v>34538</v>
          </cell>
          <cell r="K530">
            <v>35203</v>
          </cell>
          <cell r="L530">
            <v>36305</v>
          </cell>
          <cell r="M530">
            <v>38571</v>
          </cell>
          <cell r="N530">
            <v>40357</v>
          </cell>
          <cell r="O530">
            <v>41846</v>
          </cell>
        </row>
        <row r="531">
          <cell r="I531" t="str">
            <v>Other NEPOOL</v>
          </cell>
          <cell r="J531">
            <v>99715</v>
          </cell>
          <cell r="K531">
            <v>102736</v>
          </cell>
          <cell r="L531">
            <v>105947</v>
          </cell>
          <cell r="M531">
            <v>112782</v>
          </cell>
          <cell r="N531">
            <v>118008</v>
          </cell>
          <cell r="O531">
            <v>122362</v>
          </cell>
        </row>
        <row r="532">
          <cell r="I532" t="str">
            <v>New York</v>
          </cell>
          <cell r="J532">
            <v>170628</v>
          </cell>
          <cell r="K532">
            <v>174057</v>
          </cell>
          <cell r="L532">
            <v>177556</v>
          </cell>
          <cell r="M532">
            <v>186613</v>
          </cell>
          <cell r="N532">
            <v>196132</v>
          </cell>
          <cell r="O532">
            <v>204095</v>
          </cell>
        </row>
        <row r="533">
          <cell r="I533" t="str">
            <v>PJM</v>
          </cell>
          <cell r="J533">
            <v>282510</v>
          </cell>
          <cell r="K533">
            <v>291048</v>
          </cell>
          <cell r="L533">
            <v>299846</v>
          </cell>
          <cell r="M533">
            <v>323019</v>
          </cell>
          <cell r="N533">
            <v>347983</v>
          </cell>
          <cell r="O533">
            <v>369336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utput"/>
      <sheetName val="Output paste"/>
      <sheetName val="Link"/>
      <sheetName val="Incremental Nuclear"/>
      <sheetName val="Input_Sheet"/>
      <sheetName val="Results - Capacity Additions"/>
      <sheetName val="Results - Emissions"/>
      <sheetName val="Results - Energy Prices"/>
      <sheetName val="Results - Allowance Prices"/>
    </sheetNames>
    <sheetDataSet>
      <sheetData sheetId="2">
        <row r="57">
          <cell r="A57" t="str">
            <v>CT</v>
          </cell>
          <cell r="B57">
            <v>0</v>
          </cell>
          <cell r="C57">
            <v>0</v>
          </cell>
          <cell r="D57">
            <v>44.41</v>
          </cell>
          <cell r="E57">
            <v>61.56</v>
          </cell>
          <cell r="F57">
            <v>70.47</v>
          </cell>
          <cell r="G57">
            <v>60.26</v>
          </cell>
          <cell r="I57" t="str">
            <v>CT</v>
          </cell>
          <cell r="J57">
            <v>27.650111181886615</v>
          </cell>
          <cell r="K57">
            <v>29.133931199045534</v>
          </cell>
          <cell r="L57">
            <v>30.05980140476518</v>
          </cell>
          <cell r="M57">
            <v>34.213771745611986</v>
          </cell>
          <cell r="N57">
            <v>34.99536883316401</v>
          </cell>
          <cell r="O57">
            <v>35.425079577498444</v>
          </cell>
        </row>
        <row r="58">
          <cell r="A58" t="str">
            <v>Other NEPOOL</v>
          </cell>
          <cell r="B58">
            <v>0</v>
          </cell>
          <cell r="C58">
            <v>0</v>
          </cell>
          <cell r="D58">
            <v>44.41</v>
          </cell>
          <cell r="E58">
            <v>61.56</v>
          </cell>
          <cell r="F58">
            <v>70.47</v>
          </cell>
          <cell r="G58">
            <v>60.25999999999999</v>
          </cell>
          <cell r="I58" t="str">
            <v>Other NEPOOL</v>
          </cell>
          <cell r="J58">
            <v>26.457724013438302</v>
          </cell>
          <cell r="K58">
            <v>27.869843482323624</v>
          </cell>
          <cell r="L58">
            <v>28.827616827281567</v>
          </cell>
          <cell r="M58">
            <v>33.109510116862616</v>
          </cell>
          <cell r="N58">
            <v>34.58218425869432</v>
          </cell>
          <cell r="O58">
            <v>35.78831115869306</v>
          </cell>
        </row>
        <row r="59">
          <cell r="A59" t="str">
            <v>NY</v>
          </cell>
          <cell r="B59">
            <v>0</v>
          </cell>
          <cell r="C59">
            <v>0</v>
          </cell>
          <cell r="D59">
            <v>48.98259350001476</v>
          </cell>
          <cell r="E59">
            <v>67.93251446298315</v>
          </cell>
          <cell r="F59">
            <v>66.43938082133785</v>
          </cell>
          <cell r="G59">
            <v>64.67886026897652</v>
          </cell>
          <cell r="I59" t="str">
            <v>NY</v>
          </cell>
          <cell r="J59">
            <v>27.822796258527326</v>
          </cell>
          <cell r="K59">
            <v>29.3459890725452</v>
          </cell>
          <cell r="L59">
            <v>29.933076888418302</v>
          </cell>
          <cell r="M59">
            <v>34.10757749995982</v>
          </cell>
          <cell r="N59">
            <v>34.369053902473844</v>
          </cell>
          <cell r="O59">
            <v>33.60545510669051</v>
          </cell>
        </row>
        <row r="60">
          <cell r="A60" t="str">
            <v>PJM</v>
          </cell>
          <cell r="B60">
            <v>0</v>
          </cell>
          <cell r="C60">
            <v>12.251532624388183</v>
          </cell>
          <cell r="D60">
            <v>60.40861996622832</v>
          </cell>
          <cell r="E60">
            <v>67.03524703806403</v>
          </cell>
          <cell r="F60">
            <v>63.06825860438042</v>
          </cell>
          <cell r="G60">
            <v>60.42188311776998</v>
          </cell>
          <cell r="I60" t="str">
            <v>PJM</v>
          </cell>
          <cell r="J60">
            <v>23.547527379561785</v>
          </cell>
          <cell r="K60">
            <v>25.55243355047965</v>
          </cell>
          <cell r="L60">
            <v>26.6692567184488</v>
          </cell>
          <cell r="M60">
            <v>31.47707887152149</v>
          </cell>
          <cell r="N60">
            <v>31.96533494452315</v>
          </cell>
          <cell r="O60">
            <v>31.48474879242749</v>
          </cell>
        </row>
        <row r="143">
          <cell r="I143" t="str">
            <v>CT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I144" t="str">
            <v>Other NEPOOL</v>
          </cell>
          <cell r="J144">
            <v>2357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I145" t="str">
            <v>NY</v>
          </cell>
          <cell r="J145">
            <v>3246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I146" t="str">
            <v>PJM</v>
          </cell>
          <cell r="J146">
            <v>30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86">
          <cell r="A186" t="str">
            <v>CT</v>
          </cell>
          <cell r="B186">
            <v>0</v>
          </cell>
          <cell r="C186">
            <v>0</v>
          </cell>
          <cell r="D186">
            <v>0</v>
          </cell>
          <cell r="E186">
            <v>643</v>
          </cell>
          <cell r="F186">
            <v>15</v>
          </cell>
          <cell r="G186">
            <v>0</v>
          </cell>
          <cell r="I186" t="str">
            <v>CT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A187" t="str">
            <v>Other NEPOOL</v>
          </cell>
          <cell r="B187">
            <v>0</v>
          </cell>
          <cell r="C187">
            <v>0</v>
          </cell>
          <cell r="D187">
            <v>0</v>
          </cell>
          <cell r="E187">
            <v>38</v>
          </cell>
          <cell r="F187">
            <v>81</v>
          </cell>
          <cell r="G187">
            <v>17</v>
          </cell>
          <cell r="I187" t="str">
            <v>Other NEPOOL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A188" t="str">
            <v>NY</v>
          </cell>
          <cell r="B188">
            <v>360</v>
          </cell>
          <cell r="C188">
            <v>0</v>
          </cell>
          <cell r="D188">
            <v>774</v>
          </cell>
          <cell r="E188">
            <v>1835</v>
          </cell>
          <cell r="F188">
            <v>0</v>
          </cell>
          <cell r="G188">
            <v>0</v>
          </cell>
          <cell r="I188" t="str">
            <v>NY</v>
          </cell>
          <cell r="J188">
            <v>0</v>
          </cell>
          <cell r="K188">
            <v>0</v>
          </cell>
          <cell r="L188">
            <v>0</v>
          </cell>
          <cell r="M188">
            <v>269</v>
          </cell>
          <cell r="N188">
            <v>0</v>
          </cell>
          <cell r="O188">
            <v>0</v>
          </cell>
        </row>
        <row r="189">
          <cell r="A189" t="str">
            <v>PJM</v>
          </cell>
          <cell r="B189">
            <v>0</v>
          </cell>
          <cell r="C189">
            <v>0</v>
          </cell>
          <cell r="D189">
            <v>0</v>
          </cell>
          <cell r="E189">
            <v>814</v>
          </cell>
          <cell r="F189">
            <v>0</v>
          </cell>
          <cell r="G189">
            <v>0</v>
          </cell>
          <cell r="I189" t="str">
            <v>PJM</v>
          </cell>
          <cell r="J189">
            <v>0</v>
          </cell>
          <cell r="K189">
            <v>0</v>
          </cell>
          <cell r="L189">
            <v>0</v>
          </cell>
          <cell r="M189">
            <v>1236</v>
          </cell>
          <cell r="N189">
            <v>0</v>
          </cell>
          <cell r="O189">
            <v>0</v>
          </cell>
        </row>
        <row r="229">
          <cell r="A229" t="str">
            <v>CT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I229" t="str">
            <v>CT</v>
          </cell>
          <cell r="J229">
            <v>1</v>
          </cell>
          <cell r="K229">
            <v>2</v>
          </cell>
          <cell r="L229">
            <v>3</v>
          </cell>
          <cell r="M229">
            <v>3</v>
          </cell>
          <cell r="N229">
            <v>3</v>
          </cell>
          <cell r="O229">
            <v>0</v>
          </cell>
        </row>
        <row r="230">
          <cell r="A230" t="str">
            <v>Other NEPOOL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 t="str">
            <v>Other NEPOOL</v>
          </cell>
          <cell r="J230">
            <v>0</v>
          </cell>
          <cell r="K230">
            <v>890</v>
          </cell>
          <cell r="L230">
            <v>947</v>
          </cell>
          <cell r="M230">
            <v>1427</v>
          </cell>
          <cell r="N230">
            <v>824</v>
          </cell>
          <cell r="O230">
            <v>0</v>
          </cell>
        </row>
        <row r="231">
          <cell r="A231" t="str">
            <v>NY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I231" t="str">
            <v>NY</v>
          </cell>
          <cell r="J231">
            <v>1684</v>
          </cell>
          <cell r="K231">
            <v>784</v>
          </cell>
          <cell r="L231">
            <v>790</v>
          </cell>
          <cell r="M231">
            <v>2022</v>
          </cell>
          <cell r="N231">
            <v>1137</v>
          </cell>
          <cell r="O231">
            <v>0</v>
          </cell>
        </row>
        <row r="232">
          <cell r="A232" t="str">
            <v>PJM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 t="str">
            <v>PJM</v>
          </cell>
          <cell r="J232">
            <v>0</v>
          </cell>
          <cell r="K232">
            <v>216</v>
          </cell>
          <cell r="L232">
            <v>350</v>
          </cell>
          <cell r="M232">
            <v>382</v>
          </cell>
          <cell r="N232">
            <v>0</v>
          </cell>
          <cell r="O232">
            <v>0</v>
          </cell>
        </row>
        <row r="272">
          <cell r="A272" t="str">
            <v>CT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823</v>
          </cell>
          <cell r="G272">
            <v>1331</v>
          </cell>
          <cell r="I272" t="str">
            <v>CT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 t="str">
            <v>Other NEPOOL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28</v>
          </cell>
          <cell r="I273" t="str">
            <v>Other NEPOOL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</row>
        <row r="274">
          <cell r="A274" t="str">
            <v>NY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2381</v>
          </cell>
          <cell r="G274">
            <v>2344</v>
          </cell>
          <cell r="I274" t="str">
            <v>NY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 t="str">
            <v>PJM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7422</v>
          </cell>
          <cell r="G275">
            <v>4687</v>
          </cell>
          <cell r="I275" t="str">
            <v>PJM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315">
          <cell r="A315" t="str">
            <v>CT</v>
          </cell>
          <cell r="B315">
            <v>18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I315" t="str">
            <v>CT</v>
          </cell>
          <cell r="J315">
            <v>0</v>
          </cell>
          <cell r="K315">
            <v>0</v>
          </cell>
          <cell r="L315">
            <v>15</v>
          </cell>
          <cell r="M315">
            <v>15</v>
          </cell>
          <cell r="N315">
            <v>20</v>
          </cell>
          <cell r="O315">
            <v>0</v>
          </cell>
        </row>
        <row r="316">
          <cell r="A316" t="str">
            <v>Other NEPOOL</v>
          </cell>
          <cell r="B316">
            <v>38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I316" t="str">
            <v>Other NEPOOL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 t="str">
            <v>NY</v>
          </cell>
          <cell r="B317">
            <v>50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I317" t="str">
            <v>NY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 t="str">
            <v>PJM</v>
          </cell>
          <cell r="B318">
            <v>171</v>
          </cell>
          <cell r="C318">
            <v>118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I318" t="str">
            <v>PJM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58">
          <cell r="A358" t="str">
            <v>CT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I358" t="str">
            <v>CT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 t="str">
            <v>Other NEPOOL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I359" t="str">
            <v>Other NEPOOL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 t="str">
            <v>NY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I360" t="str">
            <v>NY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 t="str">
            <v>PJM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I361" t="str">
            <v>PJM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401">
          <cell r="A401" t="str">
            <v>CT</v>
          </cell>
          <cell r="B401">
            <v>2143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</row>
        <row r="402">
          <cell r="A402" t="str">
            <v>Other NEPOOL</v>
          </cell>
          <cell r="B402">
            <v>2547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</row>
        <row r="403">
          <cell r="A403" t="str">
            <v>NY</v>
          </cell>
          <cell r="B403">
            <v>5341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</row>
        <row r="404">
          <cell r="A404" t="str">
            <v>PJM</v>
          </cell>
          <cell r="B404">
            <v>6634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</row>
        <row r="444">
          <cell r="A444" t="str">
            <v>CT</v>
          </cell>
          <cell r="B444">
            <v>6.9497</v>
          </cell>
          <cell r="C444">
            <v>6.9785</v>
          </cell>
          <cell r="D444">
            <v>7.271199999999999</v>
          </cell>
          <cell r="E444">
            <v>8.5934</v>
          </cell>
          <cell r="F444">
            <v>11.4449</v>
          </cell>
          <cell r="G444">
            <v>17.8477</v>
          </cell>
          <cell r="I444" t="str">
            <v>CT</v>
          </cell>
          <cell r="J444">
            <v>0.0413</v>
          </cell>
          <cell r="K444">
            <v>0.0413</v>
          </cell>
          <cell r="L444">
            <v>0.0297</v>
          </cell>
          <cell r="M444">
            <v>0.0218</v>
          </cell>
          <cell r="N444">
            <v>0.0215</v>
          </cell>
          <cell r="O444">
            <v>0.0133</v>
          </cell>
        </row>
        <row r="445">
          <cell r="A445" t="str">
            <v>Other NEPOOL</v>
          </cell>
          <cell r="B445">
            <v>32.3818</v>
          </cell>
          <cell r="C445">
            <v>32.6669</v>
          </cell>
          <cell r="D445">
            <v>32.6662</v>
          </cell>
          <cell r="E445">
            <v>32.3745</v>
          </cell>
          <cell r="F445">
            <v>30.922100000000004</v>
          </cell>
          <cell r="G445">
            <v>29.0311</v>
          </cell>
          <cell r="I445" t="str">
            <v>Other NEPOOL</v>
          </cell>
          <cell r="J445">
            <v>0.17679999999999998</v>
          </cell>
          <cell r="K445">
            <v>0.11199999999999999</v>
          </cell>
          <cell r="L445">
            <v>0.09979999999999999</v>
          </cell>
          <cell r="M445">
            <v>0.1317</v>
          </cell>
          <cell r="N445">
            <v>0.11489999999999999</v>
          </cell>
          <cell r="O445">
            <v>0.1155</v>
          </cell>
        </row>
        <row r="446">
          <cell r="A446" t="str">
            <v>NY</v>
          </cell>
          <cell r="B446">
            <v>42.3236</v>
          </cell>
          <cell r="C446">
            <v>42.9157</v>
          </cell>
          <cell r="D446">
            <v>46.336200000000005</v>
          </cell>
          <cell r="E446">
            <v>50.6288</v>
          </cell>
          <cell r="F446">
            <v>58.753699999999995</v>
          </cell>
          <cell r="G446">
            <v>68.6652</v>
          </cell>
          <cell r="I446" t="str">
            <v>NY</v>
          </cell>
          <cell r="J446">
            <v>0.495</v>
          </cell>
          <cell r="K446">
            <v>0.4655</v>
          </cell>
          <cell r="L446">
            <v>0.444</v>
          </cell>
          <cell r="M446">
            <v>0.4575</v>
          </cell>
          <cell r="N446">
            <v>0.3432</v>
          </cell>
          <cell r="O446">
            <v>0.3638</v>
          </cell>
        </row>
        <row r="447">
          <cell r="A447" t="str">
            <v>PJM</v>
          </cell>
          <cell r="B447">
            <v>131.6463</v>
          </cell>
          <cell r="C447">
            <v>136.60379999999998</v>
          </cell>
          <cell r="D447">
            <v>144.19549999999998</v>
          </cell>
          <cell r="E447">
            <v>151.51280000000003</v>
          </cell>
          <cell r="F447">
            <v>187.8688</v>
          </cell>
          <cell r="G447">
            <v>205.0185</v>
          </cell>
          <cell r="I447" t="str">
            <v>PJM</v>
          </cell>
          <cell r="J447">
            <v>2.98</v>
          </cell>
          <cell r="K447">
            <v>1.8705</v>
          </cell>
          <cell r="L447">
            <v>1.3881000000000001</v>
          </cell>
          <cell r="M447">
            <v>1.3540999999999999</v>
          </cell>
          <cell r="N447">
            <v>1.1905000000000001</v>
          </cell>
          <cell r="O447">
            <v>1.0869</v>
          </cell>
        </row>
        <row r="487">
          <cell r="A487" t="str">
            <v>CT</v>
          </cell>
          <cell r="B487">
            <v>3.9071</v>
          </cell>
          <cell r="C487">
            <v>3.9461000000000004</v>
          </cell>
          <cell r="D487">
            <v>4.6136</v>
          </cell>
          <cell r="E487">
            <v>4.3209</v>
          </cell>
          <cell r="F487">
            <v>4.757</v>
          </cell>
          <cell r="G487">
            <v>4.3439000000000005</v>
          </cell>
          <cell r="I487" t="str">
            <v>CT</v>
          </cell>
          <cell r="J487">
            <v>5.5287999999999995</v>
          </cell>
          <cell r="K487">
            <v>5.5287999999999995</v>
          </cell>
          <cell r="L487">
            <v>5.633</v>
          </cell>
          <cell r="M487">
            <v>5.8212</v>
          </cell>
          <cell r="N487">
            <v>5.593</v>
          </cell>
          <cell r="O487">
            <v>2.2968</v>
          </cell>
        </row>
        <row r="488">
          <cell r="A488" t="str">
            <v>Other NEPOOL</v>
          </cell>
          <cell r="B488">
            <v>16.7388</v>
          </cell>
          <cell r="C488">
            <v>14.259799999999998</v>
          </cell>
          <cell r="D488">
            <v>14.213799999999999</v>
          </cell>
          <cell r="E488">
            <v>17.0863</v>
          </cell>
          <cell r="F488">
            <v>16.0486</v>
          </cell>
          <cell r="G488">
            <v>15.4261</v>
          </cell>
          <cell r="I488" t="str">
            <v>Other NEPOOL</v>
          </cell>
          <cell r="J488">
            <v>49.748200000000004</v>
          </cell>
          <cell r="K488">
            <v>21.903799999999997</v>
          </cell>
          <cell r="L488">
            <v>21.369300000000003</v>
          </cell>
          <cell r="M488">
            <v>31.4315</v>
          </cell>
          <cell r="N488">
            <v>28.1614</v>
          </cell>
          <cell r="O488">
            <v>28.6549</v>
          </cell>
        </row>
        <row r="489">
          <cell r="A489" t="str">
            <v>NY</v>
          </cell>
          <cell r="B489">
            <v>55.39240000000001</v>
          </cell>
          <cell r="C489">
            <v>47.3472</v>
          </cell>
          <cell r="D489">
            <v>49.3163</v>
          </cell>
          <cell r="E489">
            <v>49.6703</v>
          </cell>
          <cell r="F489">
            <v>38.2303</v>
          </cell>
          <cell r="G489">
            <v>38.3183</v>
          </cell>
          <cell r="I489" t="str">
            <v>NY</v>
          </cell>
          <cell r="J489">
            <v>126.7533</v>
          </cell>
          <cell r="K489">
            <v>126.1189</v>
          </cell>
          <cell r="L489">
            <v>133.9712</v>
          </cell>
          <cell r="M489">
            <v>139.9911</v>
          </cell>
          <cell r="N489">
            <v>98.5612</v>
          </cell>
          <cell r="O489">
            <v>85.9317</v>
          </cell>
        </row>
        <row r="490">
          <cell r="A490" t="str">
            <v>PJM</v>
          </cell>
          <cell r="B490">
            <v>230.38010000000003</v>
          </cell>
          <cell r="C490">
            <v>115.47389999999999</v>
          </cell>
          <cell r="D490">
            <v>122.8494</v>
          </cell>
          <cell r="E490">
            <v>122.2699</v>
          </cell>
          <cell r="F490">
            <v>96.1571</v>
          </cell>
          <cell r="G490">
            <v>95.15809999999999</v>
          </cell>
          <cell r="I490" t="str">
            <v>PJM</v>
          </cell>
          <cell r="J490">
            <v>627.2096</v>
          </cell>
          <cell r="K490">
            <v>467.3523</v>
          </cell>
          <cell r="L490">
            <v>331.9594</v>
          </cell>
          <cell r="M490">
            <v>327.5894</v>
          </cell>
          <cell r="N490">
            <v>225.7165</v>
          </cell>
          <cell r="O490">
            <v>164.27390000000003</v>
          </cell>
        </row>
        <row r="536">
          <cell r="A536" t="str">
            <v>nep-ct</v>
          </cell>
          <cell r="B536">
            <v>0.4877945534076478</v>
          </cell>
          <cell r="C536">
            <v>0.48766971460238295</v>
          </cell>
          <cell r="D536">
            <v>0.488231338264963</v>
          </cell>
          <cell r="E536">
            <v>0.4887818481429839</v>
          </cell>
          <cell r="F536">
            <v>0.4887946698970321</v>
          </cell>
          <cell r="G536">
            <v>0.48878504672897194</v>
          </cell>
          <cell r="I536" t="str">
            <v>nep-ct</v>
          </cell>
          <cell r="J536">
            <v>0.4963807979616654</v>
          </cell>
          <cell r="K536">
            <v>0.49441808936738346</v>
          </cell>
          <cell r="L536">
            <v>0.4932378460267181</v>
          </cell>
          <cell r="M536">
            <v>0.4920276891965466</v>
          </cell>
          <cell r="N536">
            <v>0.4920336001189385</v>
          </cell>
          <cell r="O536">
            <v>0.49204225015533143</v>
          </cell>
        </row>
        <row r="537">
          <cell r="A537" t="str">
            <v>nep-no</v>
          </cell>
          <cell r="B537">
            <v>0.18244673345562298</v>
          </cell>
          <cell r="C537">
            <v>0.1825990579107786</v>
          </cell>
          <cell r="D537">
            <v>0.18264963012777405</v>
          </cell>
          <cell r="E537">
            <v>0.18265939916339208</v>
          </cell>
          <cell r="F537">
            <v>0.1826771653543307</v>
          </cell>
          <cell r="G537">
            <v>0.18271028037383177</v>
          </cell>
          <cell r="I537" t="str">
            <v>nep-no</v>
          </cell>
          <cell r="J537">
            <v>0.17233192425733973</v>
          </cell>
          <cell r="K537">
            <v>0.17066727267562423</v>
          </cell>
          <cell r="L537">
            <v>0.17055501996970115</v>
          </cell>
          <cell r="M537">
            <v>0.17043893080293485</v>
          </cell>
          <cell r="N537">
            <v>0.1704289218722898</v>
          </cell>
          <cell r="O537">
            <v>0.17043445012665487</v>
          </cell>
        </row>
        <row r="538">
          <cell r="A538" t="str">
            <v>nep-sw</v>
          </cell>
          <cell r="B538">
            <v>0.3297587131367292</v>
          </cell>
          <cell r="C538">
            <v>0.3297312274868385</v>
          </cell>
          <cell r="D538">
            <v>0.32911903160726297</v>
          </cell>
          <cell r="E538">
            <v>0.32855875269362406</v>
          </cell>
          <cell r="F538">
            <v>0.32852816474863716</v>
          </cell>
          <cell r="G538">
            <v>0.32850467289719626</v>
          </cell>
          <cell r="I538" t="str">
            <v>nep-sw</v>
          </cell>
          <cell r="J538">
            <v>0.33128727778099487</v>
          </cell>
          <cell r="K538">
            <v>0.3349146379569923</v>
          </cell>
          <cell r="L538">
            <v>0.33620713400358077</v>
          </cell>
          <cell r="M538">
            <v>0.3375333800005185</v>
          </cell>
          <cell r="N538">
            <v>0.3375374780087717</v>
          </cell>
          <cell r="O538">
            <v>0.33752329971801365</v>
          </cell>
        </row>
        <row r="539">
          <cell r="A539" t="str">
            <v>nep-ea</v>
          </cell>
          <cell r="B539">
            <v>0.46624329811045756</v>
          </cell>
          <cell r="C539">
            <v>0.46769137425422186</v>
          </cell>
          <cell r="D539">
            <v>0.4698351971748087</v>
          </cell>
          <cell r="E539">
            <v>0.47175819104753114</v>
          </cell>
          <cell r="F539">
            <v>0.47170893054024254</v>
          </cell>
          <cell r="G539">
            <v>0.4717366339160393</v>
          </cell>
          <cell r="I539" t="str">
            <v>nep-ea</v>
          </cell>
          <cell r="J539">
            <v>0.45503685503685504</v>
          </cell>
          <cell r="K539">
            <v>0.4565682915433733</v>
          </cell>
          <cell r="L539">
            <v>0.4586161005030817</v>
          </cell>
          <cell r="M539">
            <v>0.4606054157578337</v>
          </cell>
          <cell r="N539">
            <v>0.46060436580570807</v>
          </cell>
          <cell r="O539">
            <v>0.4606005132312319</v>
          </cell>
        </row>
        <row r="540">
          <cell r="A540" t="str">
            <v>nep-me</v>
          </cell>
          <cell r="B540">
            <v>0.0982770287855916</v>
          </cell>
          <cell r="C540">
            <v>0.0977854181413692</v>
          </cell>
          <cell r="D540">
            <v>0.09750833823817932</v>
          </cell>
          <cell r="E540">
            <v>0.09723119520073835</v>
          </cell>
          <cell r="F540">
            <v>0.09724366041896361</v>
          </cell>
          <cell r="G540">
            <v>0.09723108332270002</v>
          </cell>
          <cell r="I540" t="str">
            <v>nep-me</v>
          </cell>
          <cell r="J540">
            <v>0.1174748031890889</v>
          </cell>
          <cell r="K540">
            <v>0.11686263821834605</v>
          </cell>
          <cell r="L540">
            <v>0.11650164704994007</v>
          </cell>
          <cell r="M540">
            <v>0.11600255359897856</v>
          </cell>
          <cell r="N540">
            <v>0.1160090841298895</v>
          </cell>
          <cell r="O540">
            <v>0.11600823785162061</v>
          </cell>
        </row>
        <row r="541">
          <cell r="A541" t="str">
            <v>nep-se</v>
          </cell>
          <cell r="B541">
            <v>0.2636510332621935</v>
          </cell>
          <cell r="C541">
            <v>0.2634745677014865</v>
          </cell>
          <cell r="D541">
            <v>0.26285069648813025</v>
          </cell>
          <cell r="E541">
            <v>0.26229810798338715</v>
          </cell>
          <cell r="F541">
            <v>0.26231532524807055</v>
          </cell>
          <cell r="G541">
            <v>0.2623027519033644</v>
          </cell>
          <cell r="I541" t="str">
            <v>nep-se</v>
          </cell>
          <cell r="J541">
            <v>0.24484781627638771</v>
          </cell>
          <cell r="K541">
            <v>0.24475354306182837</v>
          </cell>
          <cell r="L541">
            <v>0.24416925443854</v>
          </cell>
          <cell r="M541">
            <v>0.243726835842599</v>
          </cell>
          <cell r="N541">
            <v>0.24372076469391907</v>
          </cell>
          <cell r="O541">
            <v>0.24371945538647619</v>
          </cell>
        </row>
        <row r="542">
          <cell r="A542" t="str">
            <v>nep-wm</v>
          </cell>
          <cell r="B542">
            <v>0.17182863984175734</v>
          </cell>
          <cell r="C542">
            <v>0.17104863990292243</v>
          </cell>
          <cell r="D542">
            <v>0.1698057680988817</v>
          </cell>
          <cell r="E542">
            <v>0.16871250576834332</v>
          </cell>
          <cell r="F542">
            <v>0.16873208379272325</v>
          </cell>
          <cell r="G542">
            <v>0.1687295308578963</v>
          </cell>
          <cell r="I542" t="str">
            <v>nep-wm</v>
          </cell>
          <cell r="J542">
            <v>0.18264052549766835</v>
          </cell>
          <cell r="K542">
            <v>0.18181552717645227</v>
          </cell>
          <cell r="L542">
            <v>0.18071299800843818</v>
          </cell>
          <cell r="M542">
            <v>0.17966519480058873</v>
          </cell>
          <cell r="N542">
            <v>0.17966578537048336</v>
          </cell>
          <cell r="O542">
            <v>0.17967179353067128</v>
          </cell>
        </row>
        <row r="543">
          <cell r="A543" t="str">
            <v>dnsny </v>
          </cell>
          <cell r="B543">
            <v>0.5447788811447604</v>
          </cell>
          <cell r="C543">
            <v>0.5447441467535602</v>
          </cell>
          <cell r="D543">
            <v>0.5447648847300528</v>
          </cell>
          <cell r="E543">
            <v>0.5447863391185266</v>
          </cell>
          <cell r="F543">
            <v>0.5447713801862828</v>
          </cell>
          <cell r="G543">
            <v>0.5447661018666261</v>
          </cell>
          <cell r="I543" t="str">
            <v>dnsny </v>
          </cell>
          <cell r="J543">
            <v>0.5263790233724829</v>
          </cell>
          <cell r="K543">
            <v>0.5263792895430807</v>
          </cell>
          <cell r="L543">
            <v>0.5263804095609272</v>
          </cell>
          <cell r="M543">
            <v>0.52637811942362</v>
          </cell>
          <cell r="N543">
            <v>0.5263801929312911</v>
          </cell>
          <cell r="O543">
            <v>0.5263774222788408</v>
          </cell>
        </row>
        <row r="544">
          <cell r="A544" t="str">
            <v>lilco </v>
          </cell>
          <cell r="B544">
            <v>0.14923209769937704</v>
          </cell>
          <cell r="C544">
            <v>0.14925778421433744</v>
          </cell>
          <cell r="D544">
            <v>0.14924580098591966</v>
          </cell>
          <cell r="E544">
            <v>0.1492412174058858</v>
          </cell>
          <cell r="F544">
            <v>0.14923793395427604</v>
          </cell>
          <cell r="G544">
            <v>0.14925410936352354</v>
          </cell>
          <cell r="I544" t="str">
            <v>lilco </v>
          </cell>
          <cell r="J544">
            <v>0.11880816747544365</v>
          </cell>
          <cell r="K544">
            <v>0.1188059084093142</v>
          </cell>
          <cell r="L544">
            <v>0.11880758746536305</v>
          </cell>
          <cell r="M544">
            <v>0.11880737140499321</v>
          </cell>
          <cell r="N544">
            <v>0.11880774172496074</v>
          </cell>
          <cell r="O544">
            <v>0.11880741811411352</v>
          </cell>
        </row>
        <row r="545">
          <cell r="A545" t="str">
            <v>upsny </v>
          </cell>
          <cell r="B545">
            <v>0.3059890211558626</v>
          </cell>
          <cell r="C545">
            <v>0.30599806903210236</v>
          </cell>
          <cell r="D545">
            <v>0.30598931428402754</v>
          </cell>
          <cell r="E545">
            <v>0.3059724434755876</v>
          </cell>
          <cell r="F545">
            <v>0.30599068585944117</v>
          </cell>
          <cell r="G545">
            <v>0.3059797887698503</v>
          </cell>
          <cell r="I545" t="str">
            <v>upsny </v>
          </cell>
          <cell r="J545">
            <v>0.3548128091520735</v>
          </cell>
          <cell r="K545">
            <v>0.35481480204760507</v>
          </cell>
          <cell r="L545">
            <v>0.3548120029737097</v>
          </cell>
          <cell r="M545">
            <v>0.3548145091713868</v>
          </cell>
          <cell r="N545">
            <v>0.3548120653437481</v>
          </cell>
          <cell r="O545">
            <v>0.35481515960704574</v>
          </cell>
        </row>
        <row r="546">
          <cell r="A546" t="str">
            <v>pjme  </v>
          </cell>
          <cell r="B546">
            <v>0.5089871508278356</v>
          </cell>
          <cell r="C546">
            <v>0.5089967956618191</v>
          </cell>
          <cell r="D546">
            <v>0.5089972539187092</v>
          </cell>
          <cell r="E546">
            <v>0.5089960927653139</v>
          </cell>
          <cell r="F546">
            <v>0.5090009459361129</v>
          </cell>
          <cell r="G546">
            <v>0.5089935672434751</v>
          </cell>
          <cell r="I546" t="str">
            <v>pjme  </v>
          </cell>
          <cell r="J546">
            <v>0.48729248522176205</v>
          </cell>
          <cell r="K546">
            <v>0.48729075616393175</v>
          </cell>
          <cell r="L546">
            <v>0.48729014227303347</v>
          </cell>
          <cell r="M546">
            <v>0.4872902213182506</v>
          </cell>
          <cell r="N546">
            <v>0.4872910458269513</v>
          </cell>
          <cell r="O546">
            <v>0.4872907054822709</v>
          </cell>
        </row>
        <row r="547">
          <cell r="A547" t="str">
            <v>pjms  </v>
          </cell>
          <cell r="B547">
            <v>0.23999054940661177</v>
          </cell>
          <cell r="C547">
            <v>0.23999084474805452</v>
          </cell>
          <cell r="D547">
            <v>0.23998362585068822</v>
          </cell>
          <cell r="E547">
            <v>0.23997983362742625</v>
          </cell>
          <cell r="F547">
            <v>0.2399912682820345</v>
          </cell>
          <cell r="G547">
            <v>0.23999235171198732</v>
          </cell>
          <cell r="I547" t="str">
            <v>pjms  </v>
          </cell>
          <cell r="J547">
            <v>0.23531556405083007</v>
          </cell>
          <cell r="K547">
            <v>0.23531513702207196</v>
          </cell>
          <cell r="L547">
            <v>0.23531746296432168</v>
          </cell>
          <cell r="M547">
            <v>0.23531742714824824</v>
          </cell>
          <cell r="N547">
            <v>0.23531609302753295</v>
          </cell>
          <cell r="O547">
            <v>0.23531689301882297</v>
          </cell>
        </row>
        <row r="548">
          <cell r="A548" t="str">
            <v>pjmw  </v>
          </cell>
          <cell r="B548">
            <v>0.25102229976555257</v>
          </cell>
          <cell r="C548">
            <v>0.2510123595901264</v>
          </cell>
          <cell r="D548">
            <v>0.2510191202306026</v>
          </cell>
          <cell r="E548">
            <v>0.25102407360725987</v>
          </cell>
          <cell r="F548">
            <v>0.25100778578185257</v>
          </cell>
          <cell r="G548">
            <v>0.2510140810445376</v>
          </cell>
          <cell r="I548" t="str">
            <v>pjmw  </v>
          </cell>
          <cell r="J548">
            <v>0.27739195072740785</v>
          </cell>
          <cell r="K548">
            <v>0.27739410681399634</v>
          </cell>
          <cell r="L548">
            <v>0.2773923947626448</v>
          </cell>
          <cell r="M548">
            <v>0.2773923515335011</v>
          </cell>
          <cell r="N548">
            <v>0.27739286114551576</v>
          </cell>
          <cell r="O548">
            <v>0.27739240149890615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uel Consumption"/>
      <sheetName val="Allowance Prices"/>
      <sheetName val="Emissions"/>
      <sheetName val="Prices"/>
      <sheetName val="Generation"/>
      <sheetName val="Capacity Typle LKP"/>
      <sheetName val="ACC"/>
      <sheetName val="Regions"/>
      <sheetName val="Emit"/>
      <sheetName val="Output"/>
    </sheetNames>
    <sheetDataSet>
      <sheetData sheetId="7">
        <row r="1">
          <cell r="A1" t="str">
            <v>cin</v>
          </cell>
          <cell r="B1" t="str">
            <v>None</v>
          </cell>
        </row>
        <row r="2">
          <cell r="A2" t="str">
            <v>c-nb</v>
          </cell>
          <cell r="B2" t="str">
            <v>None</v>
          </cell>
        </row>
        <row r="3">
          <cell r="A3" t="str">
            <v>c-ns</v>
          </cell>
          <cell r="B3" t="str">
            <v>None</v>
          </cell>
        </row>
        <row r="4">
          <cell r="A4" t="str">
            <v>cnv</v>
          </cell>
          <cell r="B4" t="str">
            <v>None</v>
          </cell>
        </row>
        <row r="5">
          <cell r="A5" t="str">
            <v>c-ont</v>
          </cell>
          <cell r="B5" t="str">
            <v>None</v>
          </cell>
        </row>
        <row r="6">
          <cell r="A6" t="str">
            <v>c-pq</v>
          </cell>
          <cell r="B6" t="str">
            <v>None</v>
          </cell>
        </row>
        <row r="7">
          <cell r="A7" t="str">
            <v>entrg</v>
          </cell>
          <cell r="B7" t="str">
            <v>None</v>
          </cell>
        </row>
        <row r="8">
          <cell r="A8" t="str">
            <v>ercot</v>
          </cell>
          <cell r="B8" t="str">
            <v>None</v>
          </cell>
        </row>
        <row r="9">
          <cell r="A9" t="str">
            <v>fe</v>
          </cell>
          <cell r="B9" t="str">
            <v>None</v>
          </cell>
        </row>
        <row r="10">
          <cell r="A10" t="str">
            <v>florida</v>
          </cell>
          <cell r="B10" t="str">
            <v>None</v>
          </cell>
        </row>
        <row r="11">
          <cell r="A11" t="str">
            <v>gate</v>
          </cell>
          <cell r="B11" t="str">
            <v>None</v>
          </cell>
        </row>
        <row r="12">
          <cell r="A12" t="str">
            <v>grimes</v>
          </cell>
          <cell r="B12" t="str">
            <v>None</v>
          </cell>
        </row>
        <row r="13">
          <cell r="A13" t="str">
            <v>ilmo</v>
          </cell>
          <cell r="B13" t="str">
            <v>None</v>
          </cell>
        </row>
        <row r="14">
          <cell r="A14" t="str">
            <v>ky</v>
          </cell>
          <cell r="B14" t="str">
            <v>None</v>
          </cell>
        </row>
        <row r="15">
          <cell r="A15" t="str">
            <v>mapp</v>
          </cell>
          <cell r="B15" t="str">
            <v>EI</v>
          </cell>
        </row>
        <row r="16">
          <cell r="A16" t="str">
            <v>mecs</v>
          </cell>
          <cell r="B16" t="str">
            <v>EI</v>
          </cell>
        </row>
        <row r="17">
          <cell r="A17" t="str">
            <v>n-boston</v>
          </cell>
          <cell r="B17" t="str">
            <v>MA</v>
          </cell>
        </row>
        <row r="18">
          <cell r="A18" t="str">
            <v>n-cnma</v>
          </cell>
          <cell r="B18" t="str">
            <v>MA</v>
          </cell>
        </row>
        <row r="19">
          <cell r="A19" t="str">
            <v>n-ct</v>
          </cell>
          <cell r="B19" t="str">
            <v>CT</v>
          </cell>
        </row>
        <row r="20">
          <cell r="A20" t="str">
            <v>n-me</v>
          </cell>
          <cell r="B20" t="str">
            <v>ME</v>
          </cell>
        </row>
        <row r="21">
          <cell r="A21" t="str">
            <v>n-nh</v>
          </cell>
          <cell r="B21" t="str">
            <v>NH</v>
          </cell>
        </row>
        <row r="22">
          <cell r="A22" t="str">
            <v>n-ri</v>
          </cell>
          <cell r="B22" t="str">
            <v>RI</v>
          </cell>
        </row>
        <row r="23">
          <cell r="A23" t="str">
            <v>n-sema</v>
          </cell>
          <cell r="B23" t="str">
            <v>MA</v>
          </cell>
        </row>
        <row r="24">
          <cell r="A24" t="str">
            <v>n-swct</v>
          </cell>
          <cell r="B24" t="str">
            <v>CT</v>
          </cell>
        </row>
        <row r="25">
          <cell r="A25" t="str">
            <v>n-vt</v>
          </cell>
          <cell r="B25" t="str">
            <v>VT</v>
          </cell>
        </row>
        <row r="26">
          <cell r="A26" t="str">
            <v>n-wma</v>
          </cell>
          <cell r="B26" t="str">
            <v>MA</v>
          </cell>
        </row>
        <row r="27">
          <cell r="A27" t="str">
            <v>ny-cap</v>
          </cell>
          <cell r="B27" t="str">
            <v>NY</v>
          </cell>
        </row>
        <row r="28">
          <cell r="A28" t="str">
            <v>ny-dnsny</v>
          </cell>
          <cell r="B28" t="str">
            <v>NY</v>
          </cell>
        </row>
        <row r="29">
          <cell r="A29" t="str">
            <v>ny-lilco</v>
          </cell>
          <cell r="B29" t="str">
            <v>NY</v>
          </cell>
        </row>
        <row r="30">
          <cell r="A30" t="str">
            <v>ny-nyc</v>
          </cell>
          <cell r="B30" t="str">
            <v>NY</v>
          </cell>
        </row>
        <row r="31">
          <cell r="A31" t="str">
            <v>ny-upsny</v>
          </cell>
          <cell r="B31" t="str">
            <v>NY</v>
          </cell>
        </row>
        <row r="32">
          <cell r="A32" t="str">
            <v>pacnw</v>
          </cell>
          <cell r="B32" t="str">
            <v>None</v>
          </cell>
        </row>
        <row r="33">
          <cell r="A33" t="str">
            <v>p-aep</v>
          </cell>
          <cell r="B33" t="str">
            <v>EI</v>
          </cell>
        </row>
        <row r="34">
          <cell r="A34" t="str">
            <v>p-apsdqe</v>
          </cell>
          <cell r="B34" t="str">
            <v>EI</v>
          </cell>
        </row>
        <row r="35">
          <cell r="A35" t="str">
            <v>p-comed</v>
          </cell>
          <cell r="B35" t="str">
            <v>EI</v>
          </cell>
        </row>
        <row r="36">
          <cell r="A36" t="str">
            <v>p-delm</v>
          </cell>
          <cell r="B36" t="str">
            <v>DELMARVA</v>
          </cell>
        </row>
        <row r="37">
          <cell r="A37" t="str">
            <v>p-nj</v>
          </cell>
          <cell r="B37" t="str">
            <v>NJ</v>
          </cell>
        </row>
        <row r="38">
          <cell r="A38" t="str">
            <v>p-peco</v>
          </cell>
          <cell r="B38" t="str">
            <v>EI</v>
          </cell>
        </row>
        <row r="39">
          <cell r="A39" t="str">
            <v>p-s</v>
          </cell>
          <cell r="B39" t="str">
            <v>EI</v>
          </cell>
        </row>
        <row r="40">
          <cell r="A40" t="str">
            <v>p-viep</v>
          </cell>
          <cell r="B40" t="str">
            <v>EI</v>
          </cell>
        </row>
        <row r="41">
          <cell r="A41" t="str">
            <v>p-w</v>
          </cell>
          <cell r="B41" t="str">
            <v>EI</v>
          </cell>
        </row>
        <row r="42">
          <cell r="A42" t="str">
            <v>southrn</v>
          </cell>
          <cell r="B42" t="str">
            <v>EI</v>
          </cell>
        </row>
        <row r="43">
          <cell r="A43" t="str">
            <v>spp</v>
          </cell>
          <cell r="B43" t="str">
            <v>None</v>
          </cell>
        </row>
        <row r="44">
          <cell r="A44" t="str">
            <v>tva</v>
          </cell>
          <cell r="B44" t="str">
            <v>EI</v>
          </cell>
        </row>
        <row r="45">
          <cell r="A45" t="str">
            <v>vacar</v>
          </cell>
          <cell r="B45" t="str">
            <v>EI</v>
          </cell>
        </row>
        <row r="46">
          <cell r="A46" t="str">
            <v>wscr</v>
          </cell>
          <cell r="B46" t="str">
            <v>None</v>
          </cell>
        </row>
        <row r="47">
          <cell r="A47" t="str">
            <v>wums</v>
          </cell>
          <cell r="B47" t="str">
            <v>EI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 Tables"/>
      <sheetName val="Global Analysis"/>
      <sheetName val="Capacity"/>
      <sheetName val="Capacity Additions"/>
      <sheetName val="Generation"/>
    </sheetNames>
    <sheetDataSet>
      <sheetData sheetId="1">
        <row r="378">
          <cell r="A378" t="str">
            <v>aps-dq</v>
          </cell>
          <cell r="B378">
            <v>619.4</v>
          </cell>
          <cell r="C378">
            <v>637.1</v>
          </cell>
          <cell r="D378">
            <v>645.9</v>
          </cell>
          <cell r="E378">
            <v>649.5</v>
          </cell>
          <cell r="F378">
            <v>741.6</v>
          </cell>
          <cell r="G378">
            <v>748.4</v>
          </cell>
          <cell r="I378" t="str">
            <v>aps-dq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 t="str">
            <v>cnv   </v>
          </cell>
          <cell r="B379">
            <v>188</v>
          </cell>
          <cell r="C379">
            <v>188</v>
          </cell>
          <cell r="D379">
            <v>188</v>
          </cell>
          <cell r="E379">
            <v>188</v>
          </cell>
          <cell r="F379">
            <v>188</v>
          </cell>
          <cell r="G379">
            <v>188</v>
          </cell>
          <cell r="I379" t="str">
            <v>cnv   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 t="str">
            <v>dnsny </v>
          </cell>
          <cell r="B380">
            <v>54.7</v>
          </cell>
          <cell r="C380">
            <v>57.4</v>
          </cell>
          <cell r="D380">
            <v>57.4</v>
          </cell>
          <cell r="E380">
            <v>56.3</v>
          </cell>
          <cell r="F380">
            <v>57.4</v>
          </cell>
          <cell r="G380">
            <v>57.4</v>
          </cell>
          <cell r="I380" t="str">
            <v>dnsny 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 t="str">
            <v>entrg </v>
          </cell>
          <cell r="B381">
            <v>293.6</v>
          </cell>
          <cell r="C381">
            <v>449.7</v>
          </cell>
          <cell r="D381">
            <v>560.8</v>
          </cell>
          <cell r="E381">
            <v>560.8</v>
          </cell>
          <cell r="F381">
            <v>646.9</v>
          </cell>
          <cell r="G381">
            <v>646.9</v>
          </cell>
          <cell r="I381" t="str">
            <v>entrg 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 t="str">
            <v>ercot </v>
          </cell>
          <cell r="B382">
            <v>46.1</v>
          </cell>
          <cell r="C382">
            <v>46.1</v>
          </cell>
          <cell r="D382">
            <v>46.1</v>
          </cell>
          <cell r="E382">
            <v>46.1</v>
          </cell>
          <cell r="F382">
            <v>46.1</v>
          </cell>
          <cell r="G382">
            <v>46.1</v>
          </cell>
          <cell r="I382" t="str">
            <v>ercot </v>
          </cell>
          <cell r="J382">
            <v>691.4</v>
          </cell>
          <cell r="K382">
            <v>691.4</v>
          </cell>
          <cell r="L382">
            <v>507</v>
          </cell>
          <cell r="M382">
            <v>474.5</v>
          </cell>
          <cell r="N382">
            <v>382.5</v>
          </cell>
          <cell r="O382">
            <v>270.4</v>
          </cell>
        </row>
        <row r="383">
          <cell r="A383" t="str">
            <v>florid</v>
          </cell>
          <cell r="B383">
            <v>833.4</v>
          </cell>
          <cell r="C383">
            <v>796.1</v>
          </cell>
          <cell r="D383">
            <v>796.1</v>
          </cell>
          <cell r="E383">
            <v>784.1</v>
          </cell>
          <cell r="F383">
            <v>1402</v>
          </cell>
          <cell r="G383">
            <v>1378.5</v>
          </cell>
          <cell r="I383" t="str">
            <v>florid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 t="str">
            <v>gate  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I384" t="str">
            <v>gate  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 t="str">
            <v>grimes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I385" t="str">
            <v>grimes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 t="str">
            <v>lilco 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I386" t="str">
            <v>lilco 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 t="str">
            <v>mano  </v>
          </cell>
          <cell r="B387">
            <v>317.6</v>
          </cell>
          <cell r="C387">
            <v>587.3</v>
          </cell>
          <cell r="D387">
            <v>754.5</v>
          </cell>
          <cell r="E387">
            <v>817.7</v>
          </cell>
          <cell r="F387">
            <v>1319.2</v>
          </cell>
          <cell r="G387">
            <v>1504.8</v>
          </cell>
          <cell r="I387" t="str">
            <v>mano  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 t="str">
            <v>mapp  </v>
          </cell>
          <cell r="B388">
            <v>62.4</v>
          </cell>
          <cell r="C388">
            <v>63.4</v>
          </cell>
          <cell r="D388">
            <v>84</v>
          </cell>
          <cell r="E388">
            <v>97.5</v>
          </cell>
          <cell r="F388">
            <v>380.6</v>
          </cell>
          <cell r="G388">
            <v>552.5</v>
          </cell>
          <cell r="I388" t="str">
            <v>mapp  </v>
          </cell>
          <cell r="J388">
            <v>311.8</v>
          </cell>
          <cell r="K388">
            <v>276.7</v>
          </cell>
          <cell r="L388">
            <v>267.2</v>
          </cell>
          <cell r="M388">
            <v>236.3</v>
          </cell>
          <cell r="N388">
            <v>218.4</v>
          </cell>
          <cell r="O388">
            <v>212.8</v>
          </cell>
        </row>
        <row r="389">
          <cell r="A389" t="str">
            <v>mecs  </v>
          </cell>
          <cell r="B389">
            <v>102.6</v>
          </cell>
          <cell r="C389">
            <v>174.9</v>
          </cell>
          <cell r="D389">
            <v>515.4</v>
          </cell>
          <cell r="E389">
            <v>565.7</v>
          </cell>
          <cell r="F389">
            <v>744.4</v>
          </cell>
          <cell r="G389">
            <v>763.3</v>
          </cell>
          <cell r="I389" t="str">
            <v>mecs  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 t="str">
            <v>nepp  </v>
          </cell>
          <cell r="B390">
            <v>167.3</v>
          </cell>
          <cell r="C390">
            <v>167.1</v>
          </cell>
          <cell r="D390">
            <v>167</v>
          </cell>
          <cell r="E390">
            <v>154.4</v>
          </cell>
          <cell r="F390">
            <v>151.8</v>
          </cell>
          <cell r="G390">
            <v>147.4</v>
          </cell>
          <cell r="I390" t="str">
            <v>nepp  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 t="str">
            <v>pacnw </v>
          </cell>
          <cell r="B391">
            <v>108.9</v>
          </cell>
          <cell r="C391">
            <v>108.9</v>
          </cell>
          <cell r="D391">
            <v>108.9</v>
          </cell>
          <cell r="E391">
            <v>108.7</v>
          </cell>
          <cell r="F391">
            <v>108.9</v>
          </cell>
          <cell r="G391">
            <v>108.9</v>
          </cell>
          <cell r="I391" t="str">
            <v>pacnw 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 t="str">
            <v>pjme  </v>
          </cell>
          <cell r="B392">
            <v>251.8</v>
          </cell>
          <cell r="C392">
            <v>133.5</v>
          </cell>
          <cell r="D392">
            <v>130.1</v>
          </cell>
          <cell r="E392">
            <v>128.5</v>
          </cell>
          <cell r="F392">
            <v>128.6</v>
          </cell>
          <cell r="G392">
            <v>128.5</v>
          </cell>
          <cell r="I392" t="str">
            <v>pjme  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 t="str">
            <v>pjms  </v>
          </cell>
          <cell r="B393">
            <v>333.2</v>
          </cell>
          <cell r="C393">
            <v>347.3</v>
          </cell>
          <cell r="D393">
            <v>359.2</v>
          </cell>
          <cell r="E393">
            <v>360.2</v>
          </cell>
          <cell r="F393">
            <v>365.9</v>
          </cell>
          <cell r="G393">
            <v>365.3</v>
          </cell>
          <cell r="I393" t="str">
            <v>pjms  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 t="str">
            <v>pjmw  </v>
          </cell>
          <cell r="B394">
            <v>759.5</v>
          </cell>
          <cell r="C394">
            <v>777.1</v>
          </cell>
          <cell r="D394">
            <v>791.9</v>
          </cell>
          <cell r="E394">
            <v>786.4</v>
          </cell>
          <cell r="F394">
            <v>798.5</v>
          </cell>
          <cell r="G394">
            <v>797.6</v>
          </cell>
          <cell r="I394" t="str">
            <v>pjmw  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 t="str">
            <v>soecar</v>
          </cell>
          <cell r="B395">
            <v>3852.4</v>
          </cell>
          <cell r="C395">
            <v>4239.6</v>
          </cell>
          <cell r="D395">
            <v>4403.9</v>
          </cell>
          <cell r="E395">
            <v>4452.1</v>
          </cell>
          <cell r="F395">
            <v>4508.7</v>
          </cell>
          <cell r="G395">
            <v>4484.5</v>
          </cell>
          <cell r="I395" t="str">
            <v>soecar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 t="str">
            <v>southr</v>
          </cell>
          <cell r="B396">
            <v>1898.8</v>
          </cell>
          <cell r="C396">
            <v>1934.2</v>
          </cell>
          <cell r="D396">
            <v>1941.5</v>
          </cell>
          <cell r="E396">
            <v>1918.2</v>
          </cell>
          <cell r="F396">
            <v>1912.5</v>
          </cell>
          <cell r="G396">
            <v>1902.6</v>
          </cell>
          <cell r="I396" t="str">
            <v>southr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 t="str">
            <v>spp   </v>
          </cell>
          <cell r="B397">
            <v>177.7</v>
          </cell>
          <cell r="C397">
            <v>179.8</v>
          </cell>
          <cell r="D397">
            <v>304.8</v>
          </cell>
          <cell r="E397">
            <v>303.3</v>
          </cell>
          <cell r="F397">
            <v>303.7</v>
          </cell>
          <cell r="G397">
            <v>407.7</v>
          </cell>
          <cell r="I397" t="str">
            <v>spp   </v>
          </cell>
          <cell r="J397">
            <v>94.2</v>
          </cell>
          <cell r="K397">
            <v>94.2</v>
          </cell>
          <cell r="L397">
            <v>90.2</v>
          </cell>
          <cell r="M397">
            <v>51.8</v>
          </cell>
          <cell r="N397">
            <v>48.3</v>
          </cell>
          <cell r="O397">
            <v>48.3</v>
          </cell>
        </row>
        <row r="398">
          <cell r="A398" t="str">
            <v>tva   </v>
          </cell>
          <cell r="B398">
            <v>1050.8</v>
          </cell>
          <cell r="C398">
            <v>1078.9</v>
          </cell>
          <cell r="D398">
            <v>1148.3</v>
          </cell>
          <cell r="E398">
            <v>1148.2</v>
          </cell>
          <cell r="F398">
            <v>1146.5</v>
          </cell>
          <cell r="G398">
            <v>1126.5</v>
          </cell>
          <cell r="I398" t="str">
            <v>tva   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399">
          <cell r="A399" t="str">
            <v>upsny </v>
          </cell>
          <cell r="B399">
            <v>221.7</v>
          </cell>
          <cell r="C399">
            <v>228.3</v>
          </cell>
          <cell r="D399">
            <v>233.8</v>
          </cell>
          <cell r="E399">
            <v>233.1</v>
          </cell>
          <cell r="F399">
            <v>236.1</v>
          </cell>
          <cell r="G399">
            <v>237.7</v>
          </cell>
          <cell r="I399" t="str">
            <v>upsny 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</row>
        <row r="400">
          <cell r="A400" t="str">
            <v>vacar </v>
          </cell>
          <cell r="B400">
            <v>1294</v>
          </cell>
          <cell r="C400">
            <v>1227.4</v>
          </cell>
          <cell r="D400">
            <v>1312.7</v>
          </cell>
          <cell r="E400">
            <v>1297.6</v>
          </cell>
          <cell r="F400">
            <v>1804.6</v>
          </cell>
          <cell r="G400">
            <v>1795.5</v>
          </cell>
          <cell r="I400" t="str">
            <v>vacar 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</row>
        <row r="401">
          <cell r="A401" t="str">
            <v>viep  </v>
          </cell>
          <cell r="B401">
            <v>438.5</v>
          </cell>
          <cell r="C401">
            <v>448.9</v>
          </cell>
          <cell r="D401">
            <v>450</v>
          </cell>
          <cell r="E401">
            <v>450</v>
          </cell>
          <cell r="F401">
            <v>504.6</v>
          </cell>
          <cell r="G401">
            <v>504.1</v>
          </cell>
          <cell r="I401" t="str">
            <v>viep  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</row>
        <row r="402">
          <cell r="A402" t="str">
            <v>wscr  </v>
          </cell>
          <cell r="B402">
            <v>1262.7</v>
          </cell>
          <cell r="C402">
            <v>1262.7</v>
          </cell>
          <cell r="D402">
            <v>1262.8</v>
          </cell>
          <cell r="E402">
            <v>1262.8</v>
          </cell>
          <cell r="F402">
            <v>1262.8</v>
          </cell>
          <cell r="G402">
            <v>1266.2</v>
          </cell>
          <cell r="I402" t="str">
            <v>wscr  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</row>
        <row r="403">
          <cell r="A403" t="str">
            <v>wums  </v>
          </cell>
          <cell r="B403">
            <v>121.8</v>
          </cell>
          <cell r="C403">
            <v>170.7</v>
          </cell>
          <cell r="D403">
            <v>191.3</v>
          </cell>
          <cell r="E403">
            <v>203</v>
          </cell>
          <cell r="F403">
            <v>362.7</v>
          </cell>
          <cell r="G403">
            <v>458.5</v>
          </cell>
          <cell r="I403" t="str">
            <v>wums  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A404" t="str">
            <v>System</v>
          </cell>
          <cell r="B404">
            <v>14456.7</v>
          </cell>
          <cell r="C404">
            <v>15304.9</v>
          </cell>
          <cell r="D404">
            <v>16454.3</v>
          </cell>
          <cell r="E404">
            <v>16572.4</v>
          </cell>
          <cell r="F404">
            <v>19122.4</v>
          </cell>
          <cell r="G404">
            <v>19617.2</v>
          </cell>
          <cell r="I404" t="str">
            <v>System</v>
          </cell>
          <cell r="J404">
            <v>1097.4</v>
          </cell>
          <cell r="K404">
            <v>1062.3</v>
          </cell>
          <cell r="L404">
            <v>864.4</v>
          </cell>
          <cell r="M404">
            <v>762.6</v>
          </cell>
          <cell r="N404">
            <v>649.3</v>
          </cell>
          <cell r="O404">
            <v>531.5</v>
          </cell>
        </row>
        <row r="409">
          <cell r="A409" t="str">
            <v>aps-dq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</row>
        <row r="410">
          <cell r="A410" t="str">
            <v>cnv   </v>
          </cell>
          <cell r="B410">
            <v>3.9</v>
          </cell>
          <cell r="C410">
            <v>3.9</v>
          </cell>
          <cell r="D410">
            <v>3.9</v>
          </cell>
          <cell r="E410">
            <v>3.9</v>
          </cell>
          <cell r="F410">
            <v>3.9</v>
          </cell>
          <cell r="G410">
            <v>3.9</v>
          </cell>
        </row>
        <row r="411">
          <cell r="A411" t="str">
            <v>dnsny 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</row>
        <row r="412">
          <cell r="A412" t="str">
            <v>entrg </v>
          </cell>
          <cell r="B412">
            <v>353.5</v>
          </cell>
          <cell r="C412">
            <v>197.3</v>
          </cell>
          <cell r="D412">
            <v>86.2</v>
          </cell>
          <cell r="E412">
            <v>86.2</v>
          </cell>
          <cell r="F412">
            <v>0</v>
          </cell>
          <cell r="G412">
            <v>0</v>
          </cell>
        </row>
        <row r="413">
          <cell r="A413" t="str">
            <v>ercot </v>
          </cell>
          <cell r="B413">
            <v>451.1</v>
          </cell>
          <cell r="C413">
            <v>451.1</v>
          </cell>
          <cell r="D413">
            <v>635.5</v>
          </cell>
          <cell r="E413">
            <v>631.4</v>
          </cell>
          <cell r="F413">
            <v>626.3</v>
          </cell>
          <cell r="G413">
            <v>620.6</v>
          </cell>
        </row>
        <row r="414">
          <cell r="A414" t="str">
            <v>florid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</row>
        <row r="415">
          <cell r="A415" t="str">
            <v>gate  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</row>
        <row r="416">
          <cell r="A416" t="str">
            <v>grimes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</row>
        <row r="417">
          <cell r="A417" t="str">
            <v>lilco 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A418" t="str">
            <v>mano  </v>
          </cell>
          <cell r="B418">
            <v>1115.9</v>
          </cell>
          <cell r="C418">
            <v>912.3</v>
          </cell>
          <cell r="D418">
            <v>775.6</v>
          </cell>
          <cell r="E418">
            <v>692.4</v>
          </cell>
          <cell r="F418">
            <v>215.3</v>
          </cell>
          <cell r="G418">
            <v>19.9</v>
          </cell>
        </row>
        <row r="419">
          <cell r="A419" t="str">
            <v>mapp  </v>
          </cell>
          <cell r="B419">
            <v>1194.6</v>
          </cell>
          <cell r="C419">
            <v>1271.4</v>
          </cell>
          <cell r="D419">
            <v>1267.4</v>
          </cell>
          <cell r="E419">
            <v>1294.1</v>
          </cell>
          <cell r="F419">
            <v>1012.4</v>
          </cell>
          <cell r="G419">
            <v>806.3</v>
          </cell>
        </row>
        <row r="420">
          <cell r="A420" t="str">
            <v>mecs  </v>
          </cell>
          <cell r="B420">
            <v>665.7</v>
          </cell>
          <cell r="C420">
            <v>590.2</v>
          </cell>
          <cell r="D420">
            <v>270.8</v>
          </cell>
          <cell r="E420">
            <v>226.2</v>
          </cell>
          <cell r="F420">
            <v>52.7</v>
          </cell>
          <cell r="G420">
            <v>15.2</v>
          </cell>
        </row>
        <row r="421">
          <cell r="A421" t="str">
            <v>nepp  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</row>
        <row r="422">
          <cell r="A422" t="str">
            <v>pacnw </v>
          </cell>
          <cell r="B422">
            <v>41.2</v>
          </cell>
          <cell r="C422">
            <v>41.2</v>
          </cell>
          <cell r="D422">
            <v>41.2</v>
          </cell>
          <cell r="E422">
            <v>38.5</v>
          </cell>
          <cell r="F422">
            <v>41.2</v>
          </cell>
          <cell r="G422">
            <v>58.1</v>
          </cell>
        </row>
        <row r="423">
          <cell r="A423" t="str">
            <v>pjme  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</row>
        <row r="424">
          <cell r="A424" t="str">
            <v>pjms  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</row>
        <row r="425">
          <cell r="A425" t="str">
            <v>pjmw  </v>
          </cell>
          <cell r="B425">
            <v>1.5</v>
          </cell>
          <cell r="C425">
            <v>1.5</v>
          </cell>
          <cell r="D425">
            <v>1.5</v>
          </cell>
          <cell r="E425">
            <v>1.5</v>
          </cell>
          <cell r="F425">
            <v>1.5</v>
          </cell>
          <cell r="G425">
            <v>1.5</v>
          </cell>
        </row>
        <row r="426">
          <cell r="A426" t="str">
            <v>soecar</v>
          </cell>
          <cell r="B426">
            <v>349.7</v>
          </cell>
          <cell r="C426">
            <v>111.6</v>
          </cell>
          <cell r="D426">
            <v>31.8</v>
          </cell>
          <cell r="E426">
            <v>0</v>
          </cell>
          <cell r="F426">
            <v>0</v>
          </cell>
          <cell r="G426">
            <v>0</v>
          </cell>
        </row>
        <row r="427">
          <cell r="A427" t="str">
            <v>southr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</row>
        <row r="428">
          <cell r="A428" t="str">
            <v>spp   </v>
          </cell>
          <cell r="B428">
            <v>1190.6</v>
          </cell>
          <cell r="C428">
            <v>1201.6</v>
          </cell>
          <cell r="D428">
            <v>1068.3</v>
          </cell>
          <cell r="E428">
            <v>1055.2</v>
          </cell>
          <cell r="F428">
            <v>1043.6</v>
          </cell>
          <cell r="G428">
            <v>842.1</v>
          </cell>
        </row>
        <row r="429">
          <cell r="A429" t="str">
            <v>tva   </v>
          </cell>
          <cell r="B429">
            <v>47.5</v>
          </cell>
          <cell r="C429">
            <v>52.3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</row>
        <row r="430">
          <cell r="A430" t="str">
            <v>upsny </v>
          </cell>
          <cell r="B430">
            <v>1.7</v>
          </cell>
          <cell r="C430">
            <v>1.7</v>
          </cell>
          <cell r="D430">
            <v>1.7</v>
          </cell>
          <cell r="E430">
            <v>1.7</v>
          </cell>
          <cell r="F430">
            <v>1.7</v>
          </cell>
          <cell r="G430">
            <v>1.7</v>
          </cell>
        </row>
        <row r="431">
          <cell r="A431" t="str">
            <v>vacar 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</row>
        <row r="432">
          <cell r="A432" t="str">
            <v>viep  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</row>
        <row r="433">
          <cell r="A433" t="str">
            <v>wscr  </v>
          </cell>
          <cell r="B433">
            <v>783</v>
          </cell>
          <cell r="C433">
            <v>783.9</v>
          </cell>
          <cell r="D433">
            <v>794.7</v>
          </cell>
          <cell r="E433">
            <v>810.5</v>
          </cell>
          <cell r="F433">
            <v>1425.3</v>
          </cell>
          <cell r="G433">
            <v>1408.9</v>
          </cell>
        </row>
        <row r="434">
          <cell r="A434" t="str">
            <v>wums  </v>
          </cell>
          <cell r="B434">
            <v>393.8</v>
          </cell>
          <cell r="C434">
            <v>329.5</v>
          </cell>
          <cell r="D434">
            <v>317.8</v>
          </cell>
          <cell r="E434">
            <v>316.4</v>
          </cell>
          <cell r="F434">
            <v>147.1</v>
          </cell>
          <cell r="G434">
            <v>57.4</v>
          </cell>
        </row>
        <row r="435">
          <cell r="A435" t="str">
            <v>System</v>
          </cell>
          <cell r="B435">
            <v>6593.7</v>
          </cell>
          <cell r="C435">
            <v>5949.4</v>
          </cell>
          <cell r="D435">
            <v>5296.4</v>
          </cell>
          <cell r="E435">
            <v>5157.9</v>
          </cell>
          <cell r="F435">
            <v>4571.2</v>
          </cell>
          <cell r="G435">
            <v>3835.6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p Supply Chart"/>
      <sheetName val="4P Supply Chart Data"/>
      <sheetName val="Supply PivotTables"/>
      <sheetName val="Sheet1"/>
      <sheetName val=" 4p Coal Supply"/>
      <sheetName val="lkp"/>
      <sheetName val="Hist"/>
    </sheetNames>
    <sheetDataSet>
      <sheetData sheetId="2">
        <row r="4">
          <cell r="A4" t="str">
            <v>Aggregate Supply Region</v>
          </cell>
          <cell r="B4">
            <v>2005</v>
          </cell>
          <cell r="C4">
            <v>2008</v>
          </cell>
          <cell r="D4">
            <v>2011</v>
          </cell>
          <cell r="E4">
            <v>2015</v>
          </cell>
          <cell r="F4">
            <v>2020</v>
          </cell>
          <cell r="G4">
            <v>2025</v>
          </cell>
          <cell r="H4">
            <v>2030</v>
          </cell>
          <cell r="I4">
            <v>2045</v>
          </cell>
          <cell r="J4">
            <v>2050</v>
          </cell>
        </row>
        <row r="5">
          <cell r="A5" t="str">
            <v>Central Appalachia</v>
          </cell>
          <cell r="B5">
            <v>80.06</v>
          </cell>
          <cell r="C5">
            <v>83.85</v>
          </cell>
          <cell r="D5">
            <v>52.02</v>
          </cell>
          <cell r="E5">
            <v>48.42</v>
          </cell>
          <cell r="F5">
            <v>44.09</v>
          </cell>
          <cell r="G5">
            <v>32.6</v>
          </cell>
          <cell r="H5">
            <v>29.23</v>
          </cell>
          <cell r="I5">
            <v>29.35</v>
          </cell>
          <cell r="J5">
            <v>47.63</v>
          </cell>
        </row>
        <row r="6">
          <cell r="A6" t="str">
            <v>Midwest</v>
          </cell>
          <cell r="B6">
            <v>63.46</v>
          </cell>
          <cell r="C6">
            <v>76.84</v>
          </cell>
          <cell r="D6">
            <v>77.59</v>
          </cell>
          <cell r="E6">
            <v>90.54</v>
          </cell>
          <cell r="F6">
            <v>114.11</v>
          </cell>
          <cell r="G6">
            <v>151.45</v>
          </cell>
          <cell r="H6">
            <v>158.33</v>
          </cell>
          <cell r="I6">
            <v>177.86</v>
          </cell>
          <cell r="J6">
            <v>192.7</v>
          </cell>
        </row>
        <row r="7">
          <cell r="A7" t="str">
            <v>No. &amp; So. Appalachia</v>
          </cell>
          <cell r="B7">
            <v>113.99</v>
          </cell>
          <cell r="C7">
            <v>132.79</v>
          </cell>
          <cell r="D7">
            <v>151.67</v>
          </cell>
          <cell r="E7">
            <v>189.98</v>
          </cell>
          <cell r="F7">
            <v>251.2</v>
          </cell>
          <cell r="G7">
            <v>301.82</v>
          </cell>
          <cell r="H7">
            <v>378.21</v>
          </cell>
          <cell r="I7">
            <v>342.89</v>
          </cell>
          <cell r="J7">
            <v>336.94</v>
          </cell>
        </row>
        <row r="8">
          <cell r="A8" t="str">
            <v>Other</v>
          </cell>
          <cell r="B8">
            <v>107.93</v>
          </cell>
          <cell r="C8">
            <v>97.85</v>
          </cell>
          <cell r="D8">
            <v>103.58</v>
          </cell>
          <cell r="E8">
            <v>102.54</v>
          </cell>
          <cell r="F8">
            <v>78.45</v>
          </cell>
          <cell r="G8">
            <v>80.48</v>
          </cell>
          <cell r="H8">
            <v>86.04</v>
          </cell>
          <cell r="I8">
            <v>88.92</v>
          </cell>
          <cell r="J8">
            <v>94.52</v>
          </cell>
        </row>
        <row r="9">
          <cell r="A9" t="str">
            <v>Rockies</v>
          </cell>
          <cell r="B9">
            <v>68.32</v>
          </cell>
          <cell r="C9">
            <v>55.39</v>
          </cell>
          <cell r="D9">
            <v>73.84</v>
          </cell>
          <cell r="E9">
            <v>76.44</v>
          </cell>
          <cell r="F9">
            <v>82.96</v>
          </cell>
          <cell r="G9">
            <v>66.16</v>
          </cell>
          <cell r="H9">
            <v>51.5</v>
          </cell>
          <cell r="I9">
            <v>19.55</v>
          </cell>
          <cell r="J9">
            <v>17.27</v>
          </cell>
        </row>
        <row r="10">
          <cell r="A10" t="str">
            <v>Wyoming &amp; Montana</v>
          </cell>
          <cell r="B10">
            <v>163.17</v>
          </cell>
          <cell r="C10">
            <v>164.63</v>
          </cell>
          <cell r="D10">
            <v>188.3</v>
          </cell>
          <cell r="E10">
            <v>257.75</v>
          </cell>
          <cell r="F10">
            <v>285.31</v>
          </cell>
          <cell r="G10">
            <v>392.82</v>
          </cell>
          <cell r="H10">
            <v>478.11</v>
          </cell>
          <cell r="I10">
            <v>872.44</v>
          </cell>
          <cell r="J10">
            <v>962.87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A1" sqref="A1"/>
    </sheetView>
  </sheetViews>
  <sheetFormatPr defaultColWidth="9.140625" defaultRowHeight="12.75"/>
  <cols>
    <col min="2" max="6" width="15.57421875" style="0" customWidth="1"/>
  </cols>
  <sheetData>
    <row r="1" ht="20.25">
      <c r="A1" s="1" t="s">
        <v>0</v>
      </c>
    </row>
    <row r="2" ht="12.75">
      <c r="A2" s="2" t="s">
        <v>1</v>
      </c>
    </row>
    <row r="3" ht="12.75">
      <c r="A3" s="10">
        <v>38617</v>
      </c>
    </row>
    <row r="5" ht="12.75">
      <c r="A5" s="3" t="s">
        <v>31</v>
      </c>
    </row>
    <row r="7" spans="1:6" s="4" customFormat="1" ht="38.25">
      <c r="A7" s="5"/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</row>
    <row r="8" spans="1:6" ht="12.75">
      <c r="A8" s="8">
        <v>2006</v>
      </c>
      <c r="B8" s="11">
        <v>0</v>
      </c>
      <c r="C8" s="11">
        <f>B8</f>
        <v>0</v>
      </c>
      <c r="D8" s="11">
        <v>0</v>
      </c>
      <c r="E8" s="11">
        <f>D8</f>
        <v>0</v>
      </c>
      <c r="F8" s="11">
        <f>C8</f>
        <v>0</v>
      </c>
    </row>
    <row r="9" spans="1:6" ht="12.75">
      <c r="A9" s="8">
        <v>2009</v>
      </c>
      <c r="B9" s="11">
        <f>'Package Calc'!L25/1000000</f>
        <v>1.2166666666666668</v>
      </c>
      <c r="C9" s="11">
        <f aca="true" t="shared" si="0" ref="C9:C14">B9</f>
        <v>1.2166666666666668</v>
      </c>
      <c r="D9" s="11">
        <f>'High Emissions Package Calc'!L25/1000000</f>
        <v>10.941666666666663</v>
      </c>
      <c r="E9" s="11">
        <f aca="true" t="shared" si="1" ref="E9:E14">D9</f>
        <v>10.941666666666663</v>
      </c>
      <c r="F9" s="11">
        <f aca="true" t="shared" si="2" ref="F9:F14">C9</f>
        <v>1.2166666666666668</v>
      </c>
    </row>
    <row r="10" spans="1:6" ht="12.75">
      <c r="A10" s="8">
        <v>2012</v>
      </c>
      <c r="B10" s="11">
        <f>B9</f>
        <v>1.2166666666666668</v>
      </c>
      <c r="C10" s="11">
        <f t="shared" si="0"/>
        <v>1.2166666666666668</v>
      </c>
      <c r="D10" s="11">
        <f>D9</f>
        <v>10.941666666666663</v>
      </c>
      <c r="E10" s="11">
        <f t="shared" si="1"/>
        <v>10.941666666666663</v>
      </c>
      <c r="F10" s="11">
        <f t="shared" si="2"/>
        <v>1.2166666666666668</v>
      </c>
    </row>
    <row r="11" spans="1:6" ht="12.75">
      <c r="A11" s="8">
        <v>2015</v>
      </c>
      <c r="B11" s="11">
        <f>'Package Calc'!L26/1000000</f>
        <v>8.06047619047619</v>
      </c>
      <c r="C11" s="11">
        <f t="shared" si="0"/>
        <v>8.06047619047619</v>
      </c>
      <c r="D11" s="11">
        <f>'High Emissions Package Calc'!L26/1000000</f>
        <v>25.02857142857143</v>
      </c>
      <c r="E11" s="11">
        <f t="shared" si="1"/>
        <v>25.02857142857143</v>
      </c>
      <c r="F11" s="11">
        <f t="shared" si="2"/>
        <v>8.06047619047619</v>
      </c>
    </row>
    <row r="12" spans="1:6" ht="12.75">
      <c r="A12" s="8">
        <v>2018</v>
      </c>
      <c r="B12" s="11">
        <f>B11</f>
        <v>8.06047619047619</v>
      </c>
      <c r="C12" s="11">
        <f t="shared" si="0"/>
        <v>8.06047619047619</v>
      </c>
      <c r="D12" s="11">
        <f>D11</f>
        <v>25.02857142857143</v>
      </c>
      <c r="E12" s="11">
        <f t="shared" si="1"/>
        <v>25.02857142857143</v>
      </c>
      <c r="F12" s="11">
        <f t="shared" si="2"/>
        <v>8.06047619047619</v>
      </c>
    </row>
    <row r="13" spans="1:6" ht="12.75">
      <c r="A13" s="8">
        <v>2021</v>
      </c>
      <c r="B13" s="11">
        <f>'Package Calc'!L27/1000000</f>
        <v>13.66</v>
      </c>
      <c r="C13" s="11">
        <f t="shared" si="0"/>
        <v>13.66</v>
      </c>
      <c r="D13" s="11">
        <f>'High Emissions Package Calc'!L27/1000000</f>
        <v>32.125</v>
      </c>
      <c r="E13" s="11">
        <f t="shared" si="1"/>
        <v>32.125</v>
      </c>
      <c r="F13" s="11">
        <f t="shared" si="2"/>
        <v>13.66</v>
      </c>
    </row>
    <row r="14" spans="1:6" ht="12.75">
      <c r="A14" s="8">
        <v>2024</v>
      </c>
      <c r="B14" s="11">
        <f>B13</f>
        <v>13.66</v>
      </c>
      <c r="C14" s="11">
        <f t="shared" si="0"/>
        <v>13.66</v>
      </c>
      <c r="D14" s="11">
        <f>D13</f>
        <v>32.125</v>
      </c>
      <c r="E14" s="11">
        <f t="shared" si="1"/>
        <v>32.125</v>
      </c>
      <c r="F14" s="11">
        <f t="shared" si="2"/>
        <v>13.66</v>
      </c>
    </row>
    <row r="15" spans="1:6" ht="12.75">
      <c r="A15" s="6"/>
      <c r="B15" s="6"/>
      <c r="C15" s="6"/>
      <c r="D15" s="6"/>
      <c r="E15" s="6"/>
      <c r="F15" s="6"/>
    </row>
    <row r="16" ht="12.75">
      <c r="A16" s="3" t="s">
        <v>7</v>
      </c>
    </row>
    <row r="18" spans="1:6" ht="38.25">
      <c r="A18" s="5"/>
      <c r="B18" s="7" t="s">
        <v>2</v>
      </c>
      <c r="C18" s="7" t="s">
        <v>3</v>
      </c>
      <c r="D18" s="7" t="s">
        <v>4</v>
      </c>
      <c r="E18" s="7" t="s">
        <v>5</v>
      </c>
      <c r="F18" s="7" t="s">
        <v>6</v>
      </c>
    </row>
    <row r="19" spans="1:6" ht="12.75">
      <c r="A19" s="8">
        <v>2006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</row>
    <row r="20" spans="1:6" ht="12.75">
      <c r="A20" s="8">
        <v>2009</v>
      </c>
      <c r="B20" s="11">
        <v>0</v>
      </c>
      <c r="C20" s="11">
        <v>1.217</v>
      </c>
      <c r="D20" s="11">
        <v>6.995</v>
      </c>
      <c r="E20" s="11">
        <v>7.078</v>
      </c>
      <c r="F20" s="11">
        <v>0</v>
      </c>
    </row>
    <row r="21" spans="1:6" ht="12.75">
      <c r="A21" s="8">
        <v>2012</v>
      </c>
      <c r="B21" s="11">
        <v>1.217</v>
      </c>
      <c r="C21" s="11">
        <v>1.217</v>
      </c>
      <c r="D21" s="11">
        <v>7.078</v>
      </c>
      <c r="E21" s="11">
        <v>7.186</v>
      </c>
      <c r="F21" s="11">
        <v>0</v>
      </c>
    </row>
    <row r="22" spans="1:6" ht="12.75">
      <c r="A22" s="8">
        <v>2015</v>
      </c>
      <c r="B22" s="11">
        <v>7.059</v>
      </c>
      <c r="C22" s="11">
        <v>8.06</v>
      </c>
      <c r="D22" s="11">
        <v>7.236</v>
      </c>
      <c r="E22" s="11">
        <v>25.03</v>
      </c>
      <c r="F22" s="11">
        <v>0</v>
      </c>
    </row>
    <row r="23" spans="1:6" ht="12.75">
      <c r="A23" s="8">
        <v>2018</v>
      </c>
      <c r="B23" s="11">
        <v>7.106</v>
      </c>
      <c r="C23" s="11">
        <v>8.061</v>
      </c>
      <c r="D23" s="11">
        <v>7.288</v>
      </c>
      <c r="E23" s="11">
        <v>25.03</v>
      </c>
      <c r="F23" s="11">
        <v>3.2</v>
      </c>
    </row>
    <row r="24" spans="1:6" ht="12.75">
      <c r="A24" s="8">
        <v>2021</v>
      </c>
      <c r="B24" s="11">
        <v>7.114</v>
      </c>
      <c r="C24" s="11">
        <v>13.66</v>
      </c>
      <c r="D24" s="11">
        <v>15.73</v>
      </c>
      <c r="E24" s="11">
        <v>32.12</v>
      </c>
      <c r="F24" s="11">
        <v>6.17</v>
      </c>
    </row>
    <row r="25" spans="1:6" ht="12.75">
      <c r="A25" s="8">
        <v>2024</v>
      </c>
      <c r="B25" s="11">
        <v>7.114</v>
      </c>
      <c r="C25" s="11">
        <v>13.66</v>
      </c>
      <c r="D25" s="11">
        <v>16.33</v>
      </c>
      <c r="E25" s="11">
        <v>32.12</v>
      </c>
      <c r="F25" s="11">
        <v>6.17</v>
      </c>
    </row>
    <row r="26" spans="1:6" ht="12.75">
      <c r="A26" s="6"/>
      <c r="B26" s="6"/>
      <c r="C26" s="6"/>
      <c r="D26" s="6"/>
      <c r="E26" s="6"/>
      <c r="F26" s="6"/>
    </row>
    <row r="27" ht="12.75">
      <c r="A27" s="9" t="s">
        <v>8</v>
      </c>
    </row>
    <row r="29" spans="1:6" ht="38.25">
      <c r="A29" s="5"/>
      <c r="B29" s="7" t="s">
        <v>2</v>
      </c>
      <c r="C29" s="7" t="s">
        <v>3</v>
      </c>
      <c r="D29" s="7" t="s">
        <v>4</v>
      </c>
      <c r="E29" s="7" t="s">
        <v>5</v>
      </c>
      <c r="F29" s="7" t="s">
        <v>6</v>
      </c>
    </row>
    <row r="30" spans="1:6" ht="12.75">
      <c r="A30" s="8">
        <v>2006</v>
      </c>
      <c r="B30" s="11">
        <v>0</v>
      </c>
      <c r="C30" s="11">
        <f>B30</f>
        <v>0</v>
      </c>
      <c r="D30" s="11">
        <v>0</v>
      </c>
      <c r="E30" s="11">
        <f>D30</f>
        <v>0</v>
      </c>
      <c r="F30" s="11">
        <f>B30</f>
        <v>0</v>
      </c>
    </row>
    <row r="31" spans="1:6" ht="12.75">
      <c r="A31" s="8">
        <v>2009</v>
      </c>
      <c r="B31" s="11">
        <f>3*B20</f>
        <v>0</v>
      </c>
      <c r="C31" s="11">
        <f>3*C20</f>
        <v>3.6510000000000002</v>
      </c>
      <c r="D31" s="11">
        <f>3*D20</f>
        <v>20.985</v>
      </c>
      <c r="E31" s="11">
        <f>3*E20</f>
        <v>21.234</v>
      </c>
      <c r="F31" s="11">
        <f>3*F20</f>
        <v>0</v>
      </c>
    </row>
    <row r="32" spans="1:6" ht="12.75">
      <c r="A32" s="8">
        <v>2012</v>
      </c>
      <c r="B32" s="11">
        <f>B31+3*B21</f>
        <v>3.6510000000000002</v>
      </c>
      <c r="C32" s="11">
        <f aca="true" t="shared" si="3" ref="C32:F36">C31+3*C21</f>
        <v>7.3020000000000005</v>
      </c>
      <c r="D32" s="11">
        <f t="shared" si="3"/>
        <v>42.219</v>
      </c>
      <c r="E32" s="11">
        <f t="shared" si="3"/>
        <v>42.792</v>
      </c>
      <c r="F32" s="11">
        <f t="shared" si="3"/>
        <v>0</v>
      </c>
    </row>
    <row r="33" spans="1:6" ht="12.75">
      <c r="A33" s="8">
        <v>2015</v>
      </c>
      <c r="B33" s="11">
        <f>B32+3*B22</f>
        <v>24.828</v>
      </c>
      <c r="C33" s="11">
        <f t="shared" si="3"/>
        <v>31.482</v>
      </c>
      <c r="D33" s="11">
        <f t="shared" si="3"/>
        <v>63.927</v>
      </c>
      <c r="E33" s="11">
        <f t="shared" si="3"/>
        <v>117.882</v>
      </c>
      <c r="F33" s="11">
        <f t="shared" si="3"/>
        <v>0</v>
      </c>
    </row>
    <row r="34" spans="1:6" ht="12.75">
      <c r="A34" s="8">
        <v>2018</v>
      </c>
      <c r="B34" s="11">
        <f>B33+3*B23</f>
        <v>46.146</v>
      </c>
      <c r="C34" s="11">
        <f t="shared" si="3"/>
        <v>55.665</v>
      </c>
      <c r="D34" s="11">
        <f t="shared" si="3"/>
        <v>85.791</v>
      </c>
      <c r="E34" s="11">
        <f t="shared" si="3"/>
        <v>192.972</v>
      </c>
      <c r="F34" s="11">
        <f t="shared" si="3"/>
        <v>9.600000000000001</v>
      </c>
    </row>
    <row r="35" spans="1:6" ht="12.75">
      <c r="A35" s="8">
        <v>2021</v>
      </c>
      <c r="B35" s="11">
        <f>B34+3*B24</f>
        <v>67.488</v>
      </c>
      <c r="C35" s="11">
        <f t="shared" si="3"/>
        <v>96.64500000000001</v>
      </c>
      <c r="D35" s="11">
        <f t="shared" si="3"/>
        <v>132.981</v>
      </c>
      <c r="E35" s="11">
        <f t="shared" si="3"/>
        <v>289.332</v>
      </c>
      <c r="F35" s="11">
        <f t="shared" si="3"/>
        <v>28.11</v>
      </c>
    </row>
    <row r="36" spans="1:6" ht="12.75">
      <c r="A36" s="8">
        <v>2024</v>
      </c>
      <c r="B36" s="11">
        <f>B35+3*B25</f>
        <v>88.83</v>
      </c>
      <c r="C36" s="11">
        <f t="shared" si="3"/>
        <v>137.625</v>
      </c>
      <c r="D36" s="11">
        <f t="shared" si="3"/>
        <v>181.971</v>
      </c>
      <c r="E36" s="11">
        <f t="shared" si="3"/>
        <v>385.692</v>
      </c>
      <c r="F36" s="11">
        <f t="shared" si="3"/>
        <v>46.62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1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2" max="3" width="13.140625" style="0" customWidth="1"/>
    <col min="4" max="5" width="17.7109375" style="0" customWidth="1"/>
    <col min="6" max="6" width="17.7109375" style="56" customWidth="1"/>
    <col min="7" max="7" width="2.00390625" style="0" customWidth="1"/>
    <col min="8" max="8" width="17.7109375" style="56" customWidth="1"/>
    <col min="9" max="10" width="17.7109375" style="0" customWidth="1"/>
    <col min="11" max="14" width="12.7109375" style="0" customWidth="1"/>
    <col min="18" max="18" width="18.28125" style="0" customWidth="1"/>
    <col min="19" max="20" width="28.140625" style="0" customWidth="1"/>
    <col min="21" max="21" width="23.421875" style="0" customWidth="1"/>
  </cols>
  <sheetData>
    <row r="1" spans="1:12" ht="15.75">
      <c r="A1" s="12" t="s">
        <v>9</v>
      </c>
      <c r="F1" s="13"/>
      <c r="G1" s="14"/>
      <c r="H1" s="14"/>
      <c r="I1" s="15"/>
      <c r="J1" s="16"/>
      <c r="K1" s="17"/>
      <c r="L1" s="17"/>
    </row>
    <row r="2" spans="1:14" ht="85.5" customHeight="1" thickBot="1">
      <c r="A2" s="18"/>
      <c r="B2" s="19" t="s">
        <v>10</v>
      </c>
      <c r="C2" s="20" t="s">
        <v>11</v>
      </c>
      <c r="D2" s="21" t="s">
        <v>12</v>
      </c>
      <c r="E2" s="22" t="s">
        <v>13</v>
      </c>
      <c r="F2" s="22" t="s">
        <v>14</v>
      </c>
      <c r="G2" s="14"/>
      <c r="H2" s="23" t="s">
        <v>15</v>
      </c>
      <c r="I2" s="22" t="s">
        <v>16</v>
      </c>
      <c r="J2" s="22" t="s">
        <v>17</v>
      </c>
      <c r="K2" s="24" t="s">
        <v>18</v>
      </c>
      <c r="L2" s="24" t="s">
        <v>19</v>
      </c>
      <c r="M2" s="25" t="s">
        <v>28</v>
      </c>
      <c r="N2" s="25" t="s">
        <v>29</v>
      </c>
    </row>
    <row r="3" spans="1:21" ht="21.75" thickBot="1">
      <c r="A3" s="26">
        <v>2006</v>
      </c>
      <c r="B3" s="27">
        <f>S13*1000000</f>
        <v>123700000</v>
      </c>
      <c r="C3" s="28"/>
      <c r="D3" s="28"/>
      <c r="E3" s="26"/>
      <c r="F3" s="29"/>
      <c r="H3" s="30"/>
      <c r="I3" s="26"/>
      <c r="J3" s="29"/>
      <c r="K3" s="31"/>
      <c r="L3" s="31"/>
      <c r="M3" s="32"/>
      <c r="N3" s="32"/>
      <c r="R3" s="33"/>
      <c r="S3" s="65" t="s">
        <v>30</v>
      </c>
      <c r="T3" s="66"/>
      <c r="U3" s="67"/>
    </row>
    <row r="4" spans="1:21" ht="38.25" thickBot="1">
      <c r="A4" s="26">
        <v>2007</v>
      </c>
      <c r="B4" s="28">
        <f>+B3+(B6-B3)*1/3</f>
        <v>123933333.33333333</v>
      </c>
      <c r="C4" s="28"/>
      <c r="D4" s="28"/>
      <c r="E4" s="26"/>
      <c r="F4" s="29"/>
      <c r="H4" s="30"/>
      <c r="I4" s="26"/>
      <c r="J4" s="29"/>
      <c r="K4" s="31"/>
      <c r="L4" s="31"/>
      <c r="M4" s="32"/>
      <c r="N4" s="32"/>
      <c r="R4" s="34"/>
      <c r="S4" s="35" t="s">
        <v>20</v>
      </c>
      <c r="T4" s="36" t="s">
        <v>21</v>
      </c>
      <c r="U4" s="37" t="s">
        <v>22</v>
      </c>
    </row>
    <row r="5" spans="1:21" ht="18.75">
      <c r="A5" s="26">
        <v>2008</v>
      </c>
      <c r="B5" s="28">
        <f>+B3+(B6-B3)*2/3</f>
        <v>124166666.66666667</v>
      </c>
      <c r="C5" s="38">
        <f>B3</f>
        <v>123700000</v>
      </c>
      <c r="D5" s="28">
        <f aca="true" t="shared" si="0" ref="D5:D21">+B5-C5</f>
        <v>466666.66666667163</v>
      </c>
      <c r="E5" s="28">
        <f>+D5</f>
        <v>466666.66666667163</v>
      </c>
      <c r="F5" s="39">
        <f aca="true" t="shared" si="1" ref="F5:F21">+E5/($A5-2007)</f>
        <v>466666.66666667163</v>
      </c>
      <c r="H5" s="40">
        <f aca="true" t="shared" si="2" ref="H5:H21">+D5*0.5</f>
        <v>233333.33333333582</v>
      </c>
      <c r="I5" s="28">
        <f aca="true" t="shared" si="3" ref="I5:I21">+E5*0.5</f>
        <v>233333.33333333582</v>
      </c>
      <c r="J5" s="39">
        <f aca="true" t="shared" si="4" ref="J5:J21">+I5/($A5-2007)</f>
        <v>233333.33333333582</v>
      </c>
      <c r="K5" s="41">
        <f aca="true" t="shared" si="5" ref="K5:K21">+H5/C5</f>
        <v>0.0018862840204796753</v>
      </c>
      <c r="L5" s="41">
        <f aca="true" t="shared" si="6" ref="L5:L21">+J5/C5</f>
        <v>0.0018862840204796753</v>
      </c>
      <c r="M5" s="42">
        <f aca="true" t="shared" si="7" ref="M5:M21">+H5/(C5+13900000)</f>
        <v>0.001695736434108545</v>
      </c>
      <c r="N5" s="42">
        <f aca="true" t="shared" si="8" ref="N5:N21">+J5/(C5+13900000)</f>
        <v>0.001695736434108545</v>
      </c>
      <c r="R5" s="43">
        <v>2006</v>
      </c>
      <c r="S5" s="44">
        <f aca="true" t="shared" si="9" ref="S5:S11">VLOOKUP($R5,$A$3:$C$21,2,0)/1000000</f>
        <v>123.7</v>
      </c>
      <c r="T5" s="45"/>
      <c r="U5" s="46"/>
    </row>
    <row r="6" spans="1:23" ht="18.75">
      <c r="A6" s="26">
        <v>2009</v>
      </c>
      <c r="B6" s="27">
        <f>S14*1000000</f>
        <v>124400000</v>
      </c>
      <c r="C6" s="38">
        <f>C5</f>
        <v>123700000</v>
      </c>
      <c r="D6" s="28">
        <f t="shared" si="0"/>
        <v>700000</v>
      </c>
      <c r="E6" s="28">
        <f aca="true" t="shared" si="10" ref="E6:E21">+E5+D6</f>
        <v>1166666.6666666716</v>
      </c>
      <c r="F6" s="39">
        <f t="shared" si="1"/>
        <v>583333.3333333358</v>
      </c>
      <c r="H6" s="47">
        <f t="shared" si="2"/>
        <v>350000</v>
      </c>
      <c r="I6" s="28">
        <f t="shared" si="3"/>
        <v>583333.3333333358</v>
      </c>
      <c r="J6" s="39">
        <f t="shared" si="4"/>
        <v>291666.6666666679</v>
      </c>
      <c r="K6" s="41">
        <f t="shared" si="5"/>
        <v>0.0028294260307194824</v>
      </c>
      <c r="L6" s="41">
        <f t="shared" si="6"/>
        <v>0.0023578550255995787</v>
      </c>
      <c r="M6" s="42">
        <f t="shared" si="7"/>
        <v>0.002543604651162791</v>
      </c>
      <c r="N6" s="42">
        <f t="shared" si="8"/>
        <v>0.002119670542635668</v>
      </c>
      <c r="R6" s="43">
        <v>2009</v>
      </c>
      <c r="S6" s="44">
        <f t="shared" si="9"/>
        <v>124.4</v>
      </c>
      <c r="T6" s="45">
        <f aca="true" t="shared" si="11" ref="T6:T11">VLOOKUP($R6,$A$3:$C$21,3,0)/1000000</f>
        <v>123.7</v>
      </c>
      <c r="U6" s="46">
        <v>114.8</v>
      </c>
      <c r="W6" s="48">
        <f aca="true" t="shared" si="12" ref="W6:W11">T6*1000</f>
        <v>123700</v>
      </c>
    </row>
    <row r="7" spans="1:23" ht="18.75">
      <c r="A7" s="26">
        <v>2010</v>
      </c>
      <c r="B7" s="28">
        <f>+B6+(B9-B6)*1/3</f>
        <v>125466666.66666667</v>
      </c>
      <c r="C7" s="38">
        <f>C6</f>
        <v>123700000</v>
      </c>
      <c r="D7" s="28">
        <f t="shared" si="0"/>
        <v>1766666.6666666716</v>
      </c>
      <c r="E7" s="28">
        <f t="shared" si="10"/>
        <v>2933333.3333333433</v>
      </c>
      <c r="F7" s="39">
        <f t="shared" si="1"/>
        <v>977777.7777777811</v>
      </c>
      <c r="H7" s="40">
        <f t="shared" si="2"/>
        <v>883333.3333333358</v>
      </c>
      <c r="I7" s="28">
        <f t="shared" si="3"/>
        <v>1466666.6666666716</v>
      </c>
      <c r="J7" s="39">
        <f t="shared" si="4"/>
        <v>488888.88888889056</v>
      </c>
      <c r="K7" s="41">
        <f t="shared" si="5"/>
        <v>0.0071409323632444285</v>
      </c>
      <c r="L7" s="41">
        <f t="shared" si="6"/>
        <v>0.003952214138147862</v>
      </c>
      <c r="M7" s="42">
        <f t="shared" si="7"/>
        <v>0.006419573643410871</v>
      </c>
      <c r="N7" s="42">
        <f t="shared" si="8"/>
        <v>0.0035529715762274024</v>
      </c>
      <c r="R7" s="43">
        <v>2012</v>
      </c>
      <c r="S7" s="44">
        <f t="shared" si="9"/>
        <v>127.6</v>
      </c>
      <c r="T7" s="45">
        <f t="shared" si="11"/>
        <v>123.7</v>
      </c>
      <c r="U7" s="46">
        <v>114.8</v>
      </c>
      <c r="W7" s="48">
        <f t="shared" si="12"/>
        <v>123700</v>
      </c>
    </row>
    <row r="8" spans="1:23" ht="18.75">
      <c r="A8" s="26">
        <v>2011</v>
      </c>
      <c r="B8" s="28">
        <f>+B6+(B9-B6)*2/3</f>
        <v>126533333.33333333</v>
      </c>
      <c r="C8" s="38">
        <f>C7</f>
        <v>123700000</v>
      </c>
      <c r="D8" s="28">
        <f t="shared" si="0"/>
        <v>2833333.3333333284</v>
      </c>
      <c r="E8" s="28">
        <f t="shared" si="10"/>
        <v>5766666.666666672</v>
      </c>
      <c r="F8" s="39">
        <f t="shared" si="1"/>
        <v>1441666.666666668</v>
      </c>
      <c r="H8" s="40">
        <f t="shared" si="2"/>
        <v>1416666.6666666642</v>
      </c>
      <c r="I8" s="28">
        <f t="shared" si="3"/>
        <v>2883333.333333336</v>
      </c>
      <c r="J8" s="39">
        <f t="shared" si="4"/>
        <v>720833.333333334</v>
      </c>
      <c r="K8" s="41">
        <f t="shared" si="5"/>
        <v>0.011452438695769314</v>
      </c>
      <c r="L8" s="41">
        <f t="shared" si="6"/>
        <v>0.005827270277553225</v>
      </c>
      <c r="M8" s="42">
        <f t="shared" si="7"/>
        <v>0.010295542635658897</v>
      </c>
      <c r="N8" s="42">
        <f t="shared" si="8"/>
        <v>0.005238614341085275</v>
      </c>
      <c r="R8" s="43">
        <v>2015</v>
      </c>
      <c r="S8" s="44">
        <f t="shared" si="9"/>
        <v>130.7</v>
      </c>
      <c r="T8" s="45">
        <f t="shared" si="11"/>
        <v>120.16571428571429</v>
      </c>
      <c r="U8" s="46">
        <v>111.52</v>
      </c>
      <c r="W8" s="48">
        <f t="shared" si="12"/>
        <v>120165.71428571429</v>
      </c>
    </row>
    <row r="9" spans="1:23" ht="18.75">
      <c r="A9" s="26">
        <v>2012</v>
      </c>
      <c r="B9" s="27">
        <f>S15*1000000</f>
        <v>127600000</v>
      </c>
      <c r="C9" s="38">
        <f>C8</f>
        <v>123700000</v>
      </c>
      <c r="D9" s="28">
        <f t="shared" si="0"/>
        <v>3900000</v>
      </c>
      <c r="E9" s="28">
        <f t="shared" si="10"/>
        <v>9666666.666666672</v>
      </c>
      <c r="F9" s="39">
        <f t="shared" si="1"/>
        <v>1933333.3333333344</v>
      </c>
      <c r="H9" s="47">
        <f t="shared" si="2"/>
        <v>1950000</v>
      </c>
      <c r="I9" s="28">
        <f t="shared" si="3"/>
        <v>4833333.333333336</v>
      </c>
      <c r="J9" s="39">
        <f t="shared" si="4"/>
        <v>966666.6666666672</v>
      </c>
      <c r="K9" s="41">
        <f t="shared" si="5"/>
        <v>0.01576394502829426</v>
      </c>
      <c r="L9" s="41">
        <f t="shared" si="6"/>
        <v>0.007814605227701433</v>
      </c>
      <c r="M9" s="42">
        <f t="shared" si="7"/>
        <v>0.014171511627906976</v>
      </c>
      <c r="N9" s="42">
        <f t="shared" si="8"/>
        <v>0.007025193798449616</v>
      </c>
      <c r="R9" s="43">
        <v>2018</v>
      </c>
      <c r="S9" s="44">
        <f t="shared" si="9"/>
        <v>133.8</v>
      </c>
      <c r="T9" s="45">
        <f t="shared" si="11"/>
        <v>114.86428571428571</v>
      </c>
      <c r="U9" s="46">
        <v>106.6</v>
      </c>
      <c r="W9" s="48">
        <f t="shared" si="12"/>
        <v>114864.28571428571</v>
      </c>
    </row>
    <row r="10" spans="1:23" ht="18.75">
      <c r="A10" s="26">
        <v>2013</v>
      </c>
      <c r="B10" s="28">
        <f>+B9+(B12-B9)*1/3</f>
        <v>128633333.33333333</v>
      </c>
      <c r="C10" s="38">
        <f>C9</f>
        <v>123700000</v>
      </c>
      <c r="D10" s="28">
        <f t="shared" si="0"/>
        <v>4933333.333333328</v>
      </c>
      <c r="E10" s="28">
        <f t="shared" si="10"/>
        <v>14600000</v>
      </c>
      <c r="F10" s="39">
        <f t="shared" si="1"/>
        <v>2433333.3333333335</v>
      </c>
      <c r="H10" s="40">
        <f t="shared" si="2"/>
        <v>2466666.666666664</v>
      </c>
      <c r="I10" s="28">
        <f t="shared" si="3"/>
        <v>7300000</v>
      </c>
      <c r="J10" s="39">
        <f t="shared" si="4"/>
        <v>1216666.6666666667</v>
      </c>
      <c r="K10" s="41">
        <f t="shared" si="5"/>
        <v>0.019940716787927762</v>
      </c>
      <c r="L10" s="41">
        <f t="shared" si="6"/>
        <v>0.009835623821072488</v>
      </c>
      <c r="M10" s="42">
        <f t="shared" si="7"/>
        <v>0.01792635658914727</v>
      </c>
      <c r="N10" s="42">
        <f t="shared" si="8"/>
        <v>0.008842054263565892</v>
      </c>
      <c r="R10" s="43">
        <v>2021</v>
      </c>
      <c r="S10" s="44">
        <f t="shared" si="9"/>
        <v>136.8</v>
      </c>
      <c r="T10" s="45">
        <f t="shared" si="11"/>
        <v>111.33</v>
      </c>
      <c r="U10" s="46">
        <v>103.32</v>
      </c>
      <c r="W10" s="48">
        <f t="shared" si="12"/>
        <v>111330</v>
      </c>
    </row>
    <row r="11" spans="1:23" ht="19.5" thickBot="1">
      <c r="A11" s="26">
        <v>2014</v>
      </c>
      <c r="B11" s="28">
        <f>+B9+(B12-B9)*2/3</f>
        <v>129666666.66666666</v>
      </c>
      <c r="C11" s="49">
        <f>+C$10-(C$10-C$17)*0.142857142857143</f>
        <v>121932857.14285713</v>
      </c>
      <c r="D11" s="28">
        <f t="shared" si="0"/>
        <v>7733809.523809522</v>
      </c>
      <c r="E11" s="28">
        <f t="shared" si="10"/>
        <v>22333809.523809522</v>
      </c>
      <c r="F11" s="39">
        <f t="shared" si="1"/>
        <v>3190544.2176870746</v>
      </c>
      <c r="H11" s="40">
        <f t="shared" si="2"/>
        <v>3866904.761904761</v>
      </c>
      <c r="I11" s="28">
        <f t="shared" si="3"/>
        <v>11166904.761904761</v>
      </c>
      <c r="J11" s="39">
        <f t="shared" si="4"/>
        <v>1595272.1088435373</v>
      </c>
      <c r="K11" s="41">
        <f t="shared" si="5"/>
        <v>0.03171339417868538</v>
      </c>
      <c r="L11" s="41">
        <f t="shared" si="6"/>
        <v>0.013083201248819329</v>
      </c>
      <c r="M11" s="42">
        <f t="shared" si="7"/>
        <v>0.028468110317652295</v>
      </c>
      <c r="N11" s="42">
        <f t="shared" si="8"/>
        <v>0.011744375715853267</v>
      </c>
      <c r="R11" s="50">
        <v>2024</v>
      </c>
      <c r="S11" s="51">
        <f t="shared" si="9"/>
        <v>140.5</v>
      </c>
      <c r="T11" s="52">
        <f t="shared" si="11"/>
        <v>111.33</v>
      </c>
      <c r="U11" s="53">
        <v>103.32</v>
      </c>
      <c r="W11" s="48">
        <f t="shared" si="12"/>
        <v>111330</v>
      </c>
    </row>
    <row r="12" spans="1:14" ht="12.75">
      <c r="A12" s="26">
        <v>2015</v>
      </c>
      <c r="B12" s="27">
        <f>S16*1000000</f>
        <v>130699999.99999999</v>
      </c>
      <c r="C12" s="28">
        <f>+C$10-(C$10-C$17)*2/7</f>
        <v>120165714.28571428</v>
      </c>
      <c r="D12" s="28">
        <f t="shared" si="0"/>
        <v>10534285.714285702</v>
      </c>
      <c r="E12" s="28">
        <f t="shared" si="10"/>
        <v>32868095.238095224</v>
      </c>
      <c r="F12" s="39">
        <f t="shared" si="1"/>
        <v>4108511.904761903</v>
      </c>
      <c r="H12" s="47">
        <f t="shared" si="2"/>
        <v>5267142.857142851</v>
      </c>
      <c r="I12" s="28">
        <f t="shared" si="3"/>
        <v>16434047.619047612</v>
      </c>
      <c r="J12" s="39">
        <f t="shared" si="4"/>
        <v>2054255.9523809515</v>
      </c>
      <c r="K12" s="41">
        <f t="shared" si="5"/>
        <v>0.04383232678681815</v>
      </c>
      <c r="L12" s="41">
        <f t="shared" si="6"/>
        <v>0.017095191957138548</v>
      </c>
      <c r="M12" s="42">
        <f t="shared" si="7"/>
        <v>0.03928776932421196</v>
      </c>
      <c r="N12" s="42">
        <f t="shared" si="8"/>
        <v>0.015322753944405366</v>
      </c>
    </row>
    <row r="13" spans="1:19" ht="12.75">
      <c r="A13" s="26">
        <v>2016</v>
      </c>
      <c r="B13" s="28">
        <f>+B12+(B15-B12)*1/3</f>
        <v>131733333.33333333</v>
      </c>
      <c r="C13" s="28">
        <f>+C$10-(C$10-C$17)*3/7</f>
        <v>118398571.42857143</v>
      </c>
      <c r="D13" s="28">
        <f t="shared" si="0"/>
        <v>13334761.904761896</v>
      </c>
      <c r="E13" s="28">
        <f t="shared" si="10"/>
        <v>46202857.14285712</v>
      </c>
      <c r="F13" s="39">
        <f t="shared" si="1"/>
        <v>5133650.793650791</v>
      </c>
      <c r="H13" s="40">
        <f t="shared" si="2"/>
        <v>6667380.952380948</v>
      </c>
      <c r="I13" s="28">
        <f t="shared" si="3"/>
        <v>23101428.57142856</v>
      </c>
      <c r="J13" s="39">
        <f t="shared" si="4"/>
        <v>2566825.3968253955</v>
      </c>
      <c r="K13" s="41">
        <f t="shared" si="5"/>
        <v>0.05631301857728331</v>
      </c>
      <c r="L13" s="41">
        <f t="shared" si="6"/>
        <v>0.021679530131610864</v>
      </c>
      <c r="M13" s="42">
        <f t="shared" si="7"/>
        <v>0.05039646974556105</v>
      </c>
      <c r="N13" s="42">
        <f t="shared" si="8"/>
        <v>0.019401762007772213</v>
      </c>
      <c r="R13">
        <v>2006</v>
      </c>
      <c r="S13">
        <v>123.7</v>
      </c>
    </row>
    <row r="14" spans="1:19" ht="12.75">
      <c r="A14" s="26">
        <v>2017</v>
      </c>
      <c r="B14" s="28">
        <f>+B12+(B15-B12)*2/3</f>
        <v>132766666.66666667</v>
      </c>
      <c r="C14" s="28">
        <f>+C$10-(C$10-C$17)*4/7</f>
        <v>116631428.57142857</v>
      </c>
      <c r="D14" s="28">
        <f t="shared" si="0"/>
        <v>16135238.095238104</v>
      </c>
      <c r="E14" s="28">
        <f t="shared" si="10"/>
        <v>62338095.238095224</v>
      </c>
      <c r="F14" s="39">
        <f t="shared" si="1"/>
        <v>6233809.523809522</v>
      </c>
      <c r="H14" s="40">
        <f t="shared" si="2"/>
        <v>8067619.047619052</v>
      </c>
      <c r="I14" s="28">
        <f t="shared" si="3"/>
        <v>31169047.619047612</v>
      </c>
      <c r="J14" s="39">
        <f t="shared" si="4"/>
        <v>3116904.761904761</v>
      </c>
      <c r="K14" s="41">
        <f t="shared" si="5"/>
        <v>0.06917191314927779</v>
      </c>
      <c r="L14" s="41">
        <f t="shared" si="6"/>
        <v>0.026724398389717706</v>
      </c>
      <c r="M14" s="42">
        <f t="shared" si="7"/>
        <v>0.06180595076536944</v>
      </c>
      <c r="N14" s="42">
        <f t="shared" si="8"/>
        <v>0.02387857695282289</v>
      </c>
      <c r="R14">
        <v>2009</v>
      </c>
      <c r="S14">
        <v>124.4</v>
      </c>
    </row>
    <row r="15" spans="1:19" ht="12.75">
      <c r="A15" s="26">
        <v>2018</v>
      </c>
      <c r="B15" s="27">
        <f>S17*1000000</f>
        <v>133800000.00000001</v>
      </c>
      <c r="C15" s="28">
        <f>+C$10-(C$10-C$17)*5/7</f>
        <v>114864285.71428572</v>
      </c>
      <c r="D15" s="28">
        <f t="shared" si="0"/>
        <v>18935714.2857143</v>
      </c>
      <c r="E15" s="28">
        <f t="shared" si="10"/>
        <v>81273809.52380952</v>
      </c>
      <c r="F15" s="39">
        <f t="shared" si="1"/>
        <v>7388528.138528138</v>
      </c>
      <c r="H15" s="47">
        <f t="shared" si="2"/>
        <v>9467857.14285715</v>
      </c>
      <c r="I15" s="28">
        <f t="shared" si="3"/>
        <v>40636904.76190476</v>
      </c>
      <c r="J15" s="39">
        <f t="shared" si="4"/>
        <v>3694264.069264069</v>
      </c>
      <c r="K15" s="41">
        <f t="shared" si="5"/>
        <v>0.08242646601579509</v>
      </c>
      <c r="L15" s="41">
        <f t="shared" si="6"/>
        <v>0.032161990529007506</v>
      </c>
      <c r="M15" s="42">
        <f t="shared" si="7"/>
        <v>0.0735285959948966</v>
      </c>
      <c r="N15" s="42">
        <f t="shared" si="8"/>
        <v>0.02869012978848226</v>
      </c>
      <c r="R15">
        <v>2012</v>
      </c>
      <c r="S15">
        <v>127.6</v>
      </c>
    </row>
    <row r="16" spans="1:19" ht="12.75">
      <c r="A16" s="26">
        <v>2019</v>
      </c>
      <c r="B16" s="28">
        <f>+B15+(B18-B15)*1/3</f>
        <v>134800000</v>
      </c>
      <c r="C16" s="28">
        <f>+C$10-(C$10-C$17)*6/7</f>
        <v>113097142.85714285</v>
      </c>
      <c r="D16" s="28">
        <f t="shared" si="0"/>
        <v>21702857.14285715</v>
      </c>
      <c r="E16" s="28">
        <f t="shared" si="10"/>
        <v>102976666.66666667</v>
      </c>
      <c r="F16" s="39">
        <f t="shared" si="1"/>
        <v>8581388.88888889</v>
      </c>
      <c r="H16" s="40">
        <f t="shared" si="2"/>
        <v>10851428.571428575</v>
      </c>
      <c r="I16" s="28">
        <f t="shared" si="3"/>
        <v>51488333.333333336</v>
      </c>
      <c r="J16" s="39">
        <f t="shared" si="4"/>
        <v>4290694.444444445</v>
      </c>
      <c r="K16" s="41">
        <f t="shared" si="5"/>
        <v>0.09594785772029106</v>
      </c>
      <c r="L16" s="41">
        <f t="shared" si="6"/>
        <v>0.03793813297179557</v>
      </c>
      <c r="M16" s="42">
        <f t="shared" si="7"/>
        <v>0.0854462417602196</v>
      </c>
      <c r="N16" s="42">
        <f t="shared" si="8"/>
        <v>0.03378575571003973</v>
      </c>
      <c r="R16">
        <v>2015</v>
      </c>
      <c r="S16">
        <v>130.7</v>
      </c>
    </row>
    <row r="17" spans="1:19" ht="12.75">
      <c r="A17" s="26">
        <v>2020</v>
      </c>
      <c r="B17" s="28">
        <f>+B15+(B18-B15)*2/3</f>
        <v>135800000</v>
      </c>
      <c r="C17" s="54">
        <f>+C5*0.9</f>
        <v>111330000</v>
      </c>
      <c r="D17" s="28">
        <f t="shared" si="0"/>
        <v>24470000</v>
      </c>
      <c r="E17" s="28">
        <f t="shared" si="10"/>
        <v>127446666.66666667</v>
      </c>
      <c r="F17" s="39">
        <f t="shared" si="1"/>
        <v>9803589.743589744</v>
      </c>
      <c r="H17" s="40">
        <f t="shared" si="2"/>
        <v>12235000</v>
      </c>
      <c r="I17" s="28">
        <f t="shared" si="3"/>
        <v>63723333.333333336</v>
      </c>
      <c r="J17" s="39">
        <f t="shared" si="4"/>
        <v>4901794.871794872</v>
      </c>
      <c r="K17" s="41">
        <f t="shared" si="5"/>
        <v>0.10989849995508848</v>
      </c>
      <c r="L17" s="41">
        <f t="shared" si="6"/>
        <v>0.04402941589683708</v>
      </c>
      <c r="M17" s="42">
        <f t="shared" si="7"/>
        <v>0.09770023157390402</v>
      </c>
      <c r="N17" s="42">
        <f t="shared" si="8"/>
        <v>0.03914233707414255</v>
      </c>
      <c r="R17">
        <v>2018</v>
      </c>
      <c r="S17">
        <v>133.8</v>
      </c>
    </row>
    <row r="18" spans="1:19" ht="12.75">
      <c r="A18" s="26">
        <v>2021</v>
      </c>
      <c r="B18" s="27">
        <f>S18*1000000</f>
        <v>136800000</v>
      </c>
      <c r="C18" s="28">
        <f>C17</f>
        <v>111330000</v>
      </c>
      <c r="D18" s="28">
        <f t="shared" si="0"/>
        <v>25470000</v>
      </c>
      <c r="E18" s="28">
        <f t="shared" si="10"/>
        <v>152916666.6666667</v>
      </c>
      <c r="F18" s="39">
        <f t="shared" si="1"/>
        <v>10922619.047619049</v>
      </c>
      <c r="H18" s="47">
        <f t="shared" si="2"/>
        <v>12735000</v>
      </c>
      <c r="I18" s="28">
        <f t="shared" si="3"/>
        <v>76458333.33333334</v>
      </c>
      <c r="J18" s="39">
        <f t="shared" si="4"/>
        <v>5461309.523809524</v>
      </c>
      <c r="K18" s="41">
        <f t="shared" si="5"/>
        <v>0.11438965238480193</v>
      </c>
      <c r="L18" s="41">
        <f t="shared" si="6"/>
        <v>0.04905514707454886</v>
      </c>
      <c r="M18" s="42">
        <f t="shared" si="7"/>
        <v>0.10169288509143176</v>
      </c>
      <c r="N18" s="42">
        <f t="shared" si="8"/>
        <v>0.04361023336109179</v>
      </c>
      <c r="R18">
        <v>2021</v>
      </c>
      <c r="S18">
        <v>136.8</v>
      </c>
    </row>
    <row r="19" spans="1:19" ht="12.75">
      <c r="A19" s="26">
        <v>2022</v>
      </c>
      <c r="B19" s="28">
        <f>+B18+(B21-B18)*1/3</f>
        <v>138033333.33333334</v>
      </c>
      <c r="C19" s="28">
        <f>C18</f>
        <v>111330000</v>
      </c>
      <c r="D19" s="28">
        <f t="shared" si="0"/>
        <v>26703333.333333343</v>
      </c>
      <c r="E19" s="28">
        <f t="shared" si="10"/>
        <v>179620000.00000003</v>
      </c>
      <c r="F19" s="39">
        <f t="shared" si="1"/>
        <v>11974666.666666668</v>
      </c>
      <c r="H19" s="40">
        <f t="shared" si="2"/>
        <v>13351666.666666672</v>
      </c>
      <c r="I19" s="28">
        <f t="shared" si="3"/>
        <v>89810000.00000001</v>
      </c>
      <c r="J19" s="39">
        <f t="shared" si="4"/>
        <v>5987333.333333334</v>
      </c>
      <c r="K19" s="41">
        <f t="shared" si="5"/>
        <v>0.11992874038144859</v>
      </c>
      <c r="L19" s="41">
        <f t="shared" si="6"/>
        <v>0.05378005329500884</v>
      </c>
      <c r="M19" s="42">
        <f t="shared" si="7"/>
        <v>0.10661715776304936</v>
      </c>
      <c r="N19" s="42">
        <f t="shared" si="8"/>
        <v>0.04781069498788896</v>
      </c>
      <c r="R19">
        <v>2024</v>
      </c>
      <c r="S19">
        <v>140.5</v>
      </c>
    </row>
    <row r="20" spans="1:14" ht="12.75">
      <c r="A20" s="26">
        <v>2023</v>
      </c>
      <c r="B20" s="28">
        <f>+B18+(B21-B18)*2/3</f>
        <v>139266666.66666666</v>
      </c>
      <c r="C20" s="28">
        <f>C19</f>
        <v>111330000</v>
      </c>
      <c r="D20" s="28">
        <f t="shared" si="0"/>
        <v>27936666.666666657</v>
      </c>
      <c r="E20" s="28">
        <f t="shared" si="10"/>
        <v>207556666.6666667</v>
      </c>
      <c r="F20" s="39">
        <f t="shared" si="1"/>
        <v>12972291.666666668</v>
      </c>
      <c r="H20" s="40">
        <f t="shared" si="2"/>
        <v>13968333.333333328</v>
      </c>
      <c r="I20" s="28">
        <f t="shared" si="3"/>
        <v>103778333.33333334</v>
      </c>
      <c r="J20" s="39">
        <f t="shared" si="4"/>
        <v>6486145.833333334</v>
      </c>
      <c r="K20" s="41">
        <f t="shared" si="5"/>
        <v>0.12546782837809511</v>
      </c>
      <c r="L20" s="41">
        <f t="shared" si="6"/>
        <v>0.05826053923770173</v>
      </c>
      <c r="M20" s="42">
        <f t="shared" si="7"/>
        <v>0.11154143043466684</v>
      </c>
      <c r="N20" s="42">
        <f t="shared" si="8"/>
        <v>0.051793865953312576</v>
      </c>
    </row>
    <row r="21" spans="1:14" ht="12.75">
      <c r="A21" s="26">
        <v>2024</v>
      </c>
      <c r="B21" s="27">
        <f>S19*1000000</f>
        <v>140500000</v>
      </c>
      <c r="C21" s="28">
        <f>C20</f>
        <v>111330000</v>
      </c>
      <c r="D21" s="28">
        <f t="shared" si="0"/>
        <v>29170000</v>
      </c>
      <c r="E21" s="28">
        <f t="shared" si="10"/>
        <v>236726666.6666667</v>
      </c>
      <c r="F21" s="39">
        <f t="shared" si="1"/>
        <v>13925098.039215688</v>
      </c>
      <c r="H21" s="47">
        <f t="shared" si="2"/>
        <v>14585000</v>
      </c>
      <c r="I21" s="28">
        <f t="shared" si="3"/>
        <v>118363333.33333334</v>
      </c>
      <c r="J21" s="39">
        <f t="shared" si="4"/>
        <v>6962549.019607844</v>
      </c>
      <c r="K21" s="41">
        <f t="shared" si="5"/>
        <v>0.13100691637474177</v>
      </c>
      <c r="L21" s="41">
        <f t="shared" si="6"/>
        <v>0.06253973789282173</v>
      </c>
      <c r="M21" s="42">
        <f t="shared" si="7"/>
        <v>0.11646570310628444</v>
      </c>
      <c r="N21" s="42">
        <f t="shared" si="8"/>
        <v>0.055598091668193274</v>
      </c>
    </row>
    <row r="22" ht="12.75">
      <c r="C22" s="55"/>
    </row>
    <row r="24" spans="4:14" ht="12.75">
      <c r="D24" s="57"/>
      <c r="M24" s="3" t="s">
        <v>23</v>
      </c>
      <c r="N24" s="58"/>
    </row>
    <row r="25" spans="4:14" ht="12.75">
      <c r="D25" s="57"/>
      <c r="L25" s="59">
        <f>SUM(H5:H10)/6</f>
        <v>1216666.6666666667</v>
      </c>
      <c r="M25" s="60" t="s">
        <v>24</v>
      </c>
      <c r="N25" s="61"/>
    </row>
    <row r="26" spans="4:30" ht="12.75">
      <c r="D26" s="57"/>
      <c r="L26" s="59">
        <f>SUM(H11:H17)/7</f>
        <v>8060476.190476191</v>
      </c>
      <c r="M26" s="60" t="s">
        <v>25</v>
      </c>
      <c r="N26" s="61"/>
      <c r="AA26" s="62"/>
      <c r="AB26" s="62"/>
      <c r="AC26" s="62"/>
      <c r="AD26" s="62"/>
    </row>
    <row r="27" spans="4:37" ht="12.75">
      <c r="D27" s="57"/>
      <c r="L27" s="59">
        <f>SUM(H18:H21)/4</f>
        <v>13660000</v>
      </c>
      <c r="M27" s="60" t="s">
        <v>26</v>
      </c>
      <c r="N27" s="63"/>
      <c r="AJ27" s="62"/>
      <c r="AK27" s="62"/>
    </row>
    <row r="28" ht="12.75">
      <c r="D28" s="57"/>
    </row>
    <row r="29" ht="12.75">
      <c r="D29" s="57"/>
    </row>
    <row r="30" ht="12.75">
      <c r="D30" s="57"/>
    </row>
    <row r="31" ht="12.75">
      <c r="D31" s="57"/>
    </row>
  </sheetData>
  <mergeCells count="1">
    <mergeCell ref="S3:U3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2" max="3" width="13.140625" style="0" customWidth="1"/>
    <col min="4" max="5" width="17.7109375" style="0" customWidth="1"/>
    <col min="6" max="6" width="17.7109375" style="56" customWidth="1"/>
    <col min="7" max="7" width="2.00390625" style="0" customWidth="1"/>
    <col min="8" max="8" width="17.7109375" style="56" customWidth="1"/>
    <col min="9" max="10" width="17.7109375" style="0" customWidth="1"/>
    <col min="11" max="14" width="12.7109375" style="0" customWidth="1"/>
    <col min="18" max="18" width="18.28125" style="0" customWidth="1"/>
    <col min="19" max="20" width="28.140625" style="0" customWidth="1"/>
    <col min="21" max="21" width="23.421875" style="0" customWidth="1"/>
  </cols>
  <sheetData>
    <row r="1" spans="1:12" ht="15.75">
      <c r="A1" s="12" t="s">
        <v>9</v>
      </c>
      <c r="F1" s="13"/>
      <c r="G1" s="14"/>
      <c r="H1" s="14"/>
      <c r="I1" s="15"/>
      <c r="J1" s="16"/>
      <c r="K1" s="17"/>
      <c r="L1" s="17"/>
    </row>
    <row r="2" spans="1:14" ht="85.5" customHeight="1" thickBot="1">
      <c r="A2" s="18"/>
      <c r="B2" s="19" t="s">
        <v>10</v>
      </c>
      <c r="C2" s="20" t="s">
        <v>11</v>
      </c>
      <c r="D2" s="21" t="s">
        <v>12</v>
      </c>
      <c r="E2" s="22" t="s">
        <v>13</v>
      </c>
      <c r="F2" s="22" t="s">
        <v>14</v>
      </c>
      <c r="G2" s="14"/>
      <c r="H2" s="23" t="s">
        <v>15</v>
      </c>
      <c r="I2" s="22" t="s">
        <v>16</v>
      </c>
      <c r="J2" s="22" t="s">
        <v>17</v>
      </c>
      <c r="K2" s="24" t="s">
        <v>18</v>
      </c>
      <c r="L2" s="24" t="s">
        <v>19</v>
      </c>
      <c r="M2" s="25" t="s">
        <v>28</v>
      </c>
      <c r="N2" s="25" t="s">
        <v>29</v>
      </c>
    </row>
    <row r="3" spans="1:21" ht="21.75" thickBot="1">
      <c r="A3" s="26">
        <v>2006</v>
      </c>
      <c r="B3" s="27">
        <f>U5*1000000</f>
        <v>123500000</v>
      </c>
      <c r="C3" s="28"/>
      <c r="D3" s="28"/>
      <c r="E3" s="26"/>
      <c r="F3" s="29"/>
      <c r="H3" s="30"/>
      <c r="I3" s="26"/>
      <c r="J3" s="29"/>
      <c r="K3" s="31"/>
      <c r="L3" s="31"/>
      <c r="M3" s="32"/>
      <c r="N3" s="32"/>
      <c r="R3" s="33"/>
      <c r="S3" s="65" t="s">
        <v>30</v>
      </c>
      <c r="T3" s="66"/>
      <c r="U3" s="67"/>
    </row>
    <row r="4" spans="1:21" ht="38.25" thickBot="1">
      <c r="A4" s="26">
        <v>2007</v>
      </c>
      <c r="B4" s="28">
        <f>+B3+(B6-B3)*1/3</f>
        <v>126400000</v>
      </c>
      <c r="C4" s="28"/>
      <c r="D4" s="28"/>
      <c r="E4" s="26"/>
      <c r="F4" s="29"/>
      <c r="H4" s="30"/>
      <c r="I4" s="26"/>
      <c r="J4" s="29"/>
      <c r="K4" s="31"/>
      <c r="L4" s="31"/>
      <c r="M4" s="32"/>
      <c r="N4" s="32"/>
      <c r="R4" s="34"/>
      <c r="S4" s="35" t="s">
        <v>20</v>
      </c>
      <c r="T4" s="36" t="s">
        <v>21</v>
      </c>
      <c r="U4" s="64" t="s">
        <v>27</v>
      </c>
    </row>
    <row r="5" spans="1:21" ht="18">
      <c r="A5" s="26">
        <v>2008</v>
      </c>
      <c r="B5" s="28">
        <f>+B3+(B6-B3)*2/3</f>
        <v>129299999.99999999</v>
      </c>
      <c r="C5" s="38">
        <f>B3</f>
        <v>123500000</v>
      </c>
      <c r="D5" s="28">
        <f aca="true" t="shared" si="0" ref="D5:D21">+B5-C5</f>
        <v>5799999.999999985</v>
      </c>
      <c r="E5" s="28">
        <f>+D5</f>
        <v>5799999.999999985</v>
      </c>
      <c r="F5" s="39">
        <f aca="true" t="shared" si="1" ref="F5:F21">+E5/($A5-2007)</f>
        <v>5799999.999999985</v>
      </c>
      <c r="H5" s="40">
        <f aca="true" t="shared" si="2" ref="H5:H21">+D5*0.5</f>
        <v>2899999.9999999925</v>
      </c>
      <c r="I5" s="28">
        <f aca="true" t="shared" si="3" ref="I5:I21">+E5*0.5</f>
        <v>2899999.9999999925</v>
      </c>
      <c r="J5" s="39">
        <f aca="true" t="shared" si="4" ref="J5:J21">+I5/($A5-2007)</f>
        <v>2899999.9999999925</v>
      </c>
      <c r="K5" s="41">
        <f aca="true" t="shared" si="5" ref="K5:K21">+H5/C5</f>
        <v>0.023481781376518157</v>
      </c>
      <c r="L5" s="41">
        <f aca="true" t="shared" si="6" ref="L5:L21">+J5/C5</f>
        <v>0.023481781376518157</v>
      </c>
      <c r="M5" s="42">
        <f aca="true" t="shared" si="7" ref="M5:M21">+H5/(C5+13900000)</f>
        <v>0.02110625909752542</v>
      </c>
      <c r="N5" s="42">
        <f aca="true" t="shared" si="8" ref="N5:N21">+J5/(C5+13900000)</f>
        <v>0.02110625909752542</v>
      </c>
      <c r="R5" s="43">
        <v>2006</v>
      </c>
      <c r="S5" s="44">
        <f aca="true" t="shared" si="9" ref="S5:S11">VLOOKUP($R5,$A$3:$C$21,2,0)/1000000</f>
        <v>123.5</v>
      </c>
      <c r="T5" s="45"/>
      <c r="U5" s="45">
        <v>123.5</v>
      </c>
    </row>
    <row r="6" spans="1:23" ht="18">
      <c r="A6" s="26">
        <v>2009</v>
      </c>
      <c r="B6" s="27">
        <f>U6*1000000</f>
        <v>132199999.99999999</v>
      </c>
      <c r="C6" s="38">
        <f>C5</f>
        <v>123500000</v>
      </c>
      <c r="D6" s="28">
        <f t="shared" si="0"/>
        <v>8699999.999999985</v>
      </c>
      <c r="E6" s="28">
        <f aca="true" t="shared" si="10" ref="E6:E21">+E5+D6</f>
        <v>14499999.99999997</v>
      </c>
      <c r="F6" s="39">
        <f t="shared" si="1"/>
        <v>7249999.999999985</v>
      </c>
      <c r="H6" s="47">
        <f t="shared" si="2"/>
        <v>4349999.999999993</v>
      </c>
      <c r="I6" s="28">
        <f t="shared" si="3"/>
        <v>7249999.999999985</v>
      </c>
      <c r="J6" s="39">
        <f t="shared" si="4"/>
        <v>3624999.9999999925</v>
      </c>
      <c r="K6" s="41">
        <f t="shared" si="5"/>
        <v>0.03522267206477727</v>
      </c>
      <c r="L6" s="41">
        <f t="shared" si="6"/>
        <v>0.029352226720647714</v>
      </c>
      <c r="M6" s="42">
        <f t="shared" si="7"/>
        <v>0.03165938864628816</v>
      </c>
      <c r="N6" s="42">
        <f t="shared" si="8"/>
        <v>0.026382823871906786</v>
      </c>
      <c r="R6" s="43">
        <v>2009</v>
      </c>
      <c r="S6" s="44">
        <f t="shared" si="9"/>
        <v>132.2</v>
      </c>
      <c r="T6" s="45">
        <f aca="true" t="shared" si="11" ref="T6:T11">VLOOKUP($R6,$A$3:$C$21,3,0)/1000000</f>
        <v>123.5</v>
      </c>
      <c r="U6" s="45">
        <v>132.2</v>
      </c>
      <c r="W6" s="48">
        <f aca="true" t="shared" si="12" ref="W6:W11">T6*1000</f>
        <v>123500</v>
      </c>
    </row>
    <row r="7" spans="1:23" ht="18">
      <c r="A7" s="26">
        <v>2010</v>
      </c>
      <c r="B7" s="28">
        <f>+B6+(B9-B6)*1/3</f>
        <v>141166666.66666666</v>
      </c>
      <c r="C7" s="38">
        <f>C6</f>
        <v>123500000</v>
      </c>
      <c r="D7" s="28">
        <f t="shared" si="0"/>
        <v>17666666.666666657</v>
      </c>
      <c r="E7" s="28">
        <f t="shared" si="10"/>
        <v>32166666.666666627</v>
      </c>
      <c r="F7" s="39">
        <f t="shared" si="1"/>
        <v>10722222.222222209</v>
      </c>
      <c r="H7" s="40">
        <f t="shared" si="2"/>
        <v>8833333.333333328</v>
      </c>
      <c r="I7" s="28">
        <f t="shared" si="3"/>
        <v>16083333.333333313</v>
      </c>
      <c r="J7" s="39">
        <f t="shared" si="4"/>
        <v>5361111.1111111045</v>
      </c>
      <c r="K7" s="41">
        <f t="shared" si="5"/>
        <v>0.07152496626180832</v>
      </c>
      <c r="L7" s="41">
        <f t="shared" si="6"/>
        <v>0.04340980656770125</v>
      </c>
      <c r="M7" s="42">
        <f t="shared" si="7"/>
        <v>0.06428918000970399</v>
      </c>
      <c r="N7" s="42">
        <f t="shared" si="8"/>
        <v>0.03901827591783919</v>
      </c>
      <c r="R7" s="43">
        <v>2012</v>
      </c>
      <c r="S7" s="44">
        <f t="shared" si="9"/>
        <v>159.1</v>
      </c>
      <c r="T7" s="45">
        <f t="shared" si="11"/>
        <v>123.5</v>
      </c>
      <c r="U7" s="45">
        <v>159.1</v>
      </c>
      <c r="W7" s="48">
        <f t="shared" si="12"/>
        <v>123500</v>
      </c>
    </row>
    <row r="8" spans="1:23" ht="18">
      <c r="A8" s="26">
        <v>2011</v>
      </c>
      <c r="B8" s="28">
        <f>+B6+(B9-B6)*2/3</f>
        <v>150133333.3333333</v>
      </c>
      <c r="C8" s="38">
        <f>C7</f>
        <v>123500000</v>
      </c>
      <c r="D8" s="28">
        <f t="shared" si="0"/>
        <v>26633333.333333313</v>
      </c>
      <c r="E8" s="28">
        <f t="shared" si="10"/>
        <v>58799999.99999994</v>
      </c>
      <c r="F8" s="39">
        <f t="shared" si="1"/>
        <v>14699999.999999985</v>
      </c>
      <c r="H8" s="40">
        <f t="shared" si="2"/>
        <v>13316666.666666657</v>
      </c>
      <c r="I8" s="28">
        <f t="shared" si="3"/>
        <v>29399999.99999997</v>
      </c>
      <c r="J8" s="39">
        <f t="shared" si="4"/>
        <v>7349999.999999993</v>
      </c>
      <c r="K8" s="41">
        <f t="shared" si="5"/>
        <v>0.10782726045883932</v>
      </c>
      <c r="L8" s="41">
        <f t="shared" si="6"/>
        <v>0.05951417004048577</v>
      </c>
      <c r="M8" s="42">
        <f t="shared" si="7"/>
        <v>0.09691897137311978</v>
      </c>
      <c r="N8" s="42">
        <f t="shared" si="8"/>
        <v>0.05349344978165933</v>
      </c>
      <c r="R8" s="43">
        <v>2015</v>
      </c>
      <c r="S8" s="44">
        <f t="shared" si="9"/>
        <v>163</v>
      </c>
      <c r="T8" s="45">
        <f t="shared" si="11"/>
        <v>119.97142857142856</v>
      </c>
      <c r="U8" s="45">
        <v>163</v>
      </c>
      <c r="W8" s="48">
        <f t="shared" si="12"/>
        <v>119971.42857142857</v>
      </c>
    </row>
    <row r="9" spans="1:23" ht="18">
      <c r="A9" s="26">
        <v>2012</v>
      </c>
      <c r="B9" s="27">
        <f>U7*1000000</f>
        <v>159100000</v>
      </c>
      <c r="C9" s="38">
        <f>C8</f>
        <v>123500000</v>
      </c>
      <c r="D9" s="28">
        <f t="shared" si="0"/>
        <v>35600000</v>
      </c>
      <c r="E9" s="28">
        <f t="shared" si="10"/>
        <v>94399999.99999994</v>
      </c>
      <c r="F9" s="39">
        <f t="shared" si="1"/>
        <v>18879999.99999999</v>
      </c>
      <c r="H9" s="47">
        <f t="shared" si="2"/>
        <v>17800000</v>
      </c>
      <c r="I9" s="28">
        <f t="shared" si="3"/>
        <v>47199999.99999997</v>
      </c>
      <c r="J9" s="39">
        <f t="shared" si="4"/>
        <v>9439999.999999994</v>
      </c>
      <c r="K9" s="41">
        <f t="shared" si="5"/>
        <v>0.14412955465587043</v>
      </c>
      <c r="L9" s="41">
        <f t="shared" si="6"/>
        <v>0.0764372469635627</v>
      </c>
      <c r="M9" s="42">
        <f t="shared" si="7"/>
        <v>0.12954876273653565</v>
      </c>
      <c r="N9" s="42">
        <f t="shared" si="8"/>
        <v>0.0687045123726346</v>
      </c>
      <c r="R9" s="43">
        <v>2018</v>
      </c>
      <c r="S9" s="44">
        <f t="shared" si="9"/>
        <v>169</v>
      </c>
      <c r="T9" s="45">
        <f t="shared" si="11"/>
        <v>114.67857142857143</v>
      </c>
      <c r="U9" s="45">
        <v>169</v>
      </c>
      <c r="W9" s="48">
        <f t="shared" si="12"/>
        <v>114678.57142857143</v>
      </c>
    </row>
    <row r="10" spans="1:23" ht="18">
      <c r="A10" s="26">
        <v>2013</v>
      </c>
      <c r="B10" s="28">
        <f>+B9+(B12-B9)*1/3</f>
        <v>160400000</v>
      </c>
      <c r="C10" s="38">
        <f>C9</f>
        <v>123500000</v>
      </c>
      <c r="D10" s="28">
        <f t="shared" si="0"/>
        <v>36900000</v>
      </c>
      <c r="E10" s="28">
        <f t="shared" si="10"/>
        <v>131299999.99999994</v>
      </c>
      <c r="F10" s="39">
        <f t="shared" si="1"/>
        <v>21883333.333333325</v>
      </c>
      <c r="H10" s="40">
        <f t="shared" si="2"/>
        <v>18450000</v>
      </c>
      <c r="I10" s="28">
        <f t="shared" si="3"/>
        <v>65649999.99999997</v>
      </c>
      <c r="J10" s="39">
        <f t="shared" si="4"/>
        <v>10941666.666666662</v>
      </c>
      <c r="K10" s="41">
        <f t="shared" si="5"/>
        <v>0.1493927125506073</v>
      </c>
      <c r="L10" s="41">
        <f t="shared" si="6"/>
        <v>0.08859649122807015</v>
      </c>
      <c r="M10" s="42">
        <f t="shared" si="7"/>
        <v>0.13427947598253276</v>
      </c>
      <c r="N10" s="42">
        <f t="shared" si="8"/>
        <v>0.0796336729742843</v>
      </c>
      <c r="R10" s="43">
        <v>2021</v>
      </c>
      <c r="S10" s="44">
        <f t="shared" si="9"/>
        <v>170.8</v>
      </c>
      <c r="T10" s="45">
        <f t="shared" si="11"/>
        <v>111.15</v>
      </c>
      <c r="U10" s="45">
        <v>170.8</v>
      </c>
      <c r="W10" s="48">
        <f t="shared" si="12"/>
        <v>111150</v>
      </c>
    </row>
    <row r="11" spans="1:23" ht="18.75" thickBot="1">
      <c r="A11" s="26">
        <v>2014</v>
      </c>
      <c r="B11" s="28">
        <f>+B9+(B12-B9)*2/3</f>
        <v>161700000</v>
      </c>
      <c r="C11" s="49">
        <f>+C$10-(C$10-C$17)*0.142857142857143</f>
        <v>121735714.28571428</v>
      </c>
      <c r="D11" s="28">
        <f t="shared" si="0"/>
        <v>39964285.71428572</v>
      </c>
      <c r="E11" s="28">
        <f t="shared" si="10"/>
        <v>171264285.71428567</v>
      </c>
      <c r="F11" s="39">
        <f t="shared" si="1"/>
        <v>24466326.530612238</v>
      </c>
      <c r="H11" s="40">
        <f t="shared" si="2"/>
        <v>19982142.85714286</v>
      </c>
      <c r="I11" s="28">
        <f t="shared" si="3"/>
        <v>85632142.85714284</v>
      </c>
      <c r="J11" s="39">
        <f t="shared" si="4"/>
        <v>12233163.265306119</v>
      </c>
      <c r="K11" s="41">
        <f t="shared" si="5"/>
        <v>0.16414363668368245</v>
      </c>
      <c r="L11" s="41">
        <f t="shared" si="6"/>
        <v>0.10048951810965538</v>
      </c>
      <c r="M11" s="42">
        <f t="shared" si="7"/>
        <v>0.14732213386697565</v>
      </c>
      <c r="N11" s="42">
        <f t="shared" si="8"/>
        <v>0.09019131376812138</v>
      </c>
      <c r="R11" s="50">
        <v>2024</v>
      </c>
      <c r="S11" s="51">
        <f t="shared" si="9"/>
        <v>180</v>
      </c>
      <c r="T11" s="52">
        <f t="shared" si="11"/>
        <v>111.15</v>
      </c>
      <c r="U11" s="52">
        <v>180</v>
      </c>
      <c r="W11" s="48">
        <f t="shared" si="12"/>
        <v>111150</v>
      </c>
    </row>
    <row r="12" spans="1:14" ht="12.75">
      <c r="A12" s="26">
        <v>2015</v>
      </c>
      <c r="B12" s="27">
        <f>U8*1000000</f>
        <v>163000000</v>
      </c>
      <c r="C12" s="28">
        <f>+C$10-(C$10-C$17)*2/7</f>
        <v>119971428.57142857</v>
      </c>
      <c r="D12" s="28">
        <f t="shared" si="0"/>
        <v>43028571.42857143</v>
      </c>
      <c r="E12" s="28">
        <f t="shared" si="10"/>
        <v>214292857.1428571</v>
      </c>
      <c r="F12" s="39">
        <f t="shared" si="1"/>
        <v>26786607.142857138</v>
      </c>
      <c r="H12" s="47">
        <f t="shared" si="2"/>
        <v>21514285.714285716</v>
      </c>
      <c r="I12" s="28">
        <f t="shared" si="3"/>
        <v>107146428.57142855</v>
      </c>
      <c r="J12" s="39">
        <f t="shared" si="4"/>
        <v>13393303.571428569</v>
      </c>
      <c r="K12" s="41">
        <f t="shared" si="5"/>
        <v>0.17932841152655396</v>
      </c>
      <c r="L12" s="41">
        <f t="shared" si="6"/>
        <v>0.111637443438914</v>
      </c>
      <c r="M12" s="42">
        <f t="shared" si="7"/>
        <v>0.1607085689894355</v>
      </c>
      <c r="N12" s="42">
        <f t="shared" si="8"/>
        <v>0.10004601963504427</v>
      </c>
    </row>
    <row r="13" spans="1:19" ht="12.75">
      <c r="A13" s="26">
        <v>2016</v>
      </c>
      <c r="B13" s="28">
        <f>+B12+(B15-B12)*1/3</f>
        <v>165000000</v>
      </c>
      <c r="C13" s="28">
        <f>+C$10-(C$10-C$17)*3/7</f>
        <v>118207142.85714285</v>
      </c>
      <c r="D13" s="28">
        <f t="shared" si="0"/>
        <v>46792857.14285715</v>
      </c>
      <c r="E13" s="28">
        <f t="shared" si="10"/>
        <v>261085714.28571427</v>
      </c>
      <c r="F13" s="39">
        <f t="shared" si="1"/>
        <v>29009523.809523806</v>
      </c>
      <c r="H13" s="40">
        <f t="shared" si="2"/>
        <v>23396428.571428575</v>
      </c>
      <c r="I13" s="28">
        <f t="shared" si="3"/>
        <v>130542857.14285713</v>
      </c>
      <c r="J13" s="39">
        <f t="shared" si="4"/>
        <v>14504761.904761903</v>
      </c>
      <c r="K13" s="41">
        <f t="shared" si="5"/>
        <v>0.19792736721252044</v>
      </c>
      <c r="L13" s="41">
        <f t="shared" si="6"/>
        <v>0.12270630652405985</v>
      </c>
      <c r="M13" s="42">
        <f t="shared" si="7"/>
        <v>0.17710191943768588</v>
      </c>
      <c r="N13" s="42">
        <f t="shared" si="8"/>
        <v>0.10979544020906551</v>
      </c>
      <c r="R13">
        <v>2006</v>
      </c>
      <c r="S13">
        <v>123.7</v>
      </c>
    </row>
    <row r="14" spans="1:19" ht="12.75">
      <c r="A14" s="26">
        <v>2017</v>
      </c>
      <c r="B14" s="28">
        <f>+B12+(B15-B12)*2/3</f>
        <v>167000000</v>
      </c>
      <c r="C14" s="28">
        <f>+C$10-(C$10-C$17)*4/7</f>
        <v>116442857.14285715</v>
      </c>
      <c r="D14" s="28">
        <f t="shared" si="0"/>
        <v>50557142.85714285</v>
      </c>
      <c r="E14" s="28">
        <f t="shared" si="10"/>
        <v>311642857.14285713</v>
      </c>
      <c r="F14" s="39">
        <f t="shared" si="1"/>
        <v>31164285.714285713</v>
      </c>
      <c r="H14" s="40">
        <f t="shared" si="2"/>
        <v>25278571.428571425</v>
      </c>
      <c r="I14" s="28">
        <f t="shared" si="3"/>
        <v>155821428.57142857</v>
      </c>
      <c r="J14" s="39">
        <f t="shared" si="4"/>
        <v>15582142.857142856</v>
      </c>
      <c r="K14" s="41">
        <f t="shared" si="5"/>
        <v>0.21708992761624338</v>
      </c>
      <c r="L14" s="41">
        <f t="shared" si="6"/>
        <v>0.1338179364495154</v>
      </c>
      <c r="M14" s="42">
        <f t="shared" si="7"/>
        <v>0.1939390618149934</v>
      </c>
      <c r="N14" s="42">
        <f t="shared" si="8"/>
        <v>0.11954734765453748</v>
      </c>
      <c r="R14">
        <v>2009</v>
      </c>
      <c r="S14">
        <v>124.4</v>
      </c>
    </row>
    <row r="15" spans="1:19" ht="12.75">
      <c r="A15" s="26">
        <v>2018</v>
      </c>
      <c r="B15" s="27">
        <f>U9*1000000</f>
        <v>169000000</v>
      </c>
      <c r="C15" s="28">
        <f>+C$10-(C$10-C$17)*5/7</f>
        <v>114678571.42857143</v>
      </c>
      <c r="D15" s="28">
        <f t="shared" si="0"/>
        <v>54321428.57142857</v>
      </c>
      <c r="E15" s="28">
        <f t="shared" si="10"/>
        <v>365964285.71428573</v>
      </c>
      <c r="F15" s="39">
        <f t="shared" si="1"/>
        <v>33269480.519480523</v>
      </c>
      <c r="H15" s="47">
        <f t="shared" si="2"/>
        <v>27160714.285714284</v>
      </c>
      <c r="I15" s="28">
        <f t="shared" si="3"/>
        <v>182982142.85714287</v>
      </c>
      <c r="J15" s="39">
        <f t="shared" si="4"/>
        <v>16634740.259740261</v>
      </c>
      <c r="K15" s="41">
        <f t="shared" si="5"/>
        <v>0.23684210526315785</v>
      </c>
      <c r="L15" s="41">
        <f t="shared" si="6"/>
        <v>0.14505534950879082</v>
      </c>
      <c r="M15" s="42">
        <f t="shared" si="7"/>
        <v>0.2112382645408588</v>
      </c>
      <c r="N15" s="42">
        <f t="shared" si="8"/>
        <v>0.1293741256798865</v>
      </c>
      <c r="R15">
        <v>2012</v>
      </c>
      <c r="S15">
        <v>127.6</v>
      </c>
    </row>
    <row r="16" spans="1:19" ht="12.75">
      <c r="A16" s="26">
        <v>2019</v>
      </c>
      <c r="B16" s="28">
        <f>+B15+(B18-B15)*1/3</f>
        <v>169600000</v>
      </c>
      <c r="C16" s="28">
        <f>+C$10-(C$10-C$17)*6/7</f>
        <v>112914285.71428572</v>
      </c>
      <c r="D16" s="28">
        <f t="shared" si="0"/>
        <v>56685714.28571428</v>
      </c>
      <c r="E16" s="28">
        <f t="shared" si="10"/>
        <v>422650000</v>
      </c>
      <c r="F16" s="39">
        <f t="shared" si="1"/>
        <v>35220833.333333336</v>
      </c>
      <c r="H16" s="40">
        <f t="shared" si="2"/>
        <v>28342857.14285714</v>
      </c>
      <c r="I16" s="28">
        <f t="shared" si="3"/>
        <v>211325000</v>
      </c>
      <c r="J16" s="39">
        <f t="shared" si="4"/>
        <v>17610416.666666668</v>
      </c>
      <c r="K16" s="41">
        <f t="shared" si="5"/>
        <v>0.25101214574898784</v>
      </c>
      <c r="L16" s="41">
        <f t="shared" si="6"/>
        <v>0.15596269821187586</v>
      </c>
      <c r="M16" s="42">
        <f t="shared" si="7"/>
        <v>0.2234989298186324</v>
      </c>
      <c r="N16" s="42">
        <f t="shared" si="8"/>
        <v>0.13886776688821298</v>
      </c>
      <c r="R16">
        <v>2015</v>
      </c>
      <c r="S16">
        <v>130.7</v>
      </c>
    </row>
    <row r="17" spans="1:19" ht="12.75">
      <c r="A17" s="26">
        <v>2020</v>
      </c>
      <c r="B17" s="28">
        <f>+B15+(B18-B15)*2/3</f>
        <v>170200000</v>
      </c>
      <c r="C17" s="54">
        <f>+C5*0.9</f>
        <v>111150000</v>
      </c>
      <c r="D17" s="28">
        <f t="shared" si="0"/>
        <v>59050000</v>
      </c>
      <c r="E17" s="28">
        <f t="shared" si="10"/>
        <v>481700000</v>
      </c>
      <c r="F17" s="39">
        <f t="shared" si="1"/>
        <v>37053846.15384615</v>
      </c>
      <c r="H17" s="40">
        <f t="shared" si="2"/>
        <v>29525000</v>
      </c>
      <c r="I17" s="28">
        <f t="shared" si="3"/>
        <v>240850000</v>
      </c>
      <c r="J17" s="39">
        <f t="shared" si="4"/>
        <v>18526923.076923076</v>
      </c>
      <c r="K17" s="41">
        <f t="shared" si="5"/>
        <v>0.26563202878992354</v>
      </c>
      <c r="L17" s="41">
        <f t="shared" si="6"/>
        <v>0.1666839683034015</v>
      </c>
      <c r="M17" s="42">
        <f t="shared" si="7"/>
        <v>0.23610555777688924</v>
      </c>
      <c r="N17" s="42">
        <f t="shared" si="8"/>
        <v>0.148156122166518</v>
      </c>
      <c r="R17">
        <v>2018</v>
      </c>
      <c r="S17">
        <v>133.8</v>
      </c>
    </row>
    <row r="18" spans="1:19" ht="12.75">
      <c r="A18" s="26">
        <v>2021</v>
      </c>
      <c r="B18" s="27">
        <f>U10*1000000</f>
        <v>170800000</v>
      </c>
      <c r="C18" s="28">
        <f>C17</f>
        <v>111150000</v>
      </c>
      <c r="D18" s="28">
        <f t="shared" si="0"/>
        <v>59650000</v>
      </c>
      <c r="E18" s="28">
        <f t="shared" si="10"/>
        <v>541350000</v>
      </c>
      <c r="F18" s="39">
        <f t="shared" si="1"/>
        <v>38667857.14285714</v>
      </c>
      <c r="H18" s="47">
        <f t="shared" si="2"/>
        <v>29825000</v>
      </c>
      <c r="I18" s="28">
        <f t="shared" si="3"/>
        <v>270675000</v>
      </c>
      <c r="J18" s="39">
        <f t="shared" si="4"/>
        <v>19333928.57142857</v>
      </c>
      <c r="K18" s="41">
        <f t="shared" si="5"/>
        <v>0.2683310841205578</v>
      </c>
      <c r="L18" s="41">
        <f t="shared" si="6"/>
        <v>0.17394447657605552</v>
      </c>
      <c r="M18" s="42">
        <f t="shared" si="7"/>
        <v>0.23850459816073571</v>
      </c>
      <c r="N18" s="42">
        <f t="shared" si="8"/>
        <v>0.15460958473753356</v>
      </c>
      <c r="R18">
        <v>2021</v>
      </c>
      <c r="S18">
        <v>136.8</v>
      </c>
    </row>
    <row r="19" spans="1:19" ht="12.75">
      <c r="A19" s="26">
        <v>2022</v>
      </c>
      <c r="B19" s="28">
        <f>+B18+(B21-B18)*1/3</f>
        <v>173866666.66666666</v>
      </c>
      <c r="C19" s="28">
        <f>C18</f>
        <v>111150000</v>
      </c>
      <c r="D19" s="28">
        <f t="shared" si="0"/>
        <v>62716666.66666666</v>
      </c>
      <c r="E19" s="28">
        <f t="shared" si="10"/>
        <v>604066666.6666666</v>
      </c>
      <c r="F19" s="39">
        <f t="shared" si="1"/>
        <v>40271111.11111111</v>
      </c>
      <c r="H19" s="40">
        <f t="shared" si="2"/>
        <v>31358333.33333333</v>
      </c>
      <c r="I19" s="28">
        <f t="shared" si="3"/>
        <v>302033333.3333333</v>
      </c>
      <c r="J19" s="39">
        <f t="shared" si="4"/>
        <v>20135555.555555556</v>
      </c>
      <c r="K19" s="41">
        <f t="shared" si="5"/>
        <v>0.2821262558104663</v>
      </c>
      <c r="L19" s="41">
        <f t="shared" si="6"/>
        <v>0.18115659519168292</v>
      </c>
      <c r="M19" s="42">
        <f t="shared" si="7"/>
        <v>0.2507663601226176</v>
      </c>
      <c r="N19" s="42">
        <f t="shared" si="8"/>
        <v>0.1610200364298725</v>
      </c>
      <c r="R19">
        <v>2024</v>
      </c>
      <c r="S19">
        <v>140.5</v>
      </c>
    </row>
    <row r="20" spans="1:14" ht="12.75">
      <c r="A20" s="26">
        <v>2023</v>
      </c>
      <c r="B20" s="28">
        <f>+B18+(B21-B18)*2/3</f>
        <v>176933333.33333334</v>
      </c>
      <c r="C20" s="28">
        <f>C19</f>
        <v>111150000</v>
      </c>
      <c r="D20" s="28">
        <f t="shared" si="0"/>
        <v>65783333.33333334</v>
      </c>
      <c r="E20" s="28">
        <f t="shared" si="10"/>
        <v>669850000</v>
      </c>
      <c r="F20" s="39">
        <f t="shared" si="1"/>
        <v>41865625</v>
      </c>
      <c r="H20" s="40">
        <f t="shared" si="2"/>
        <v>32891666.66666667</v>
      </c>
      <c r="I20" s="28">
        <f t="shared" si="3"/>
        <v>334925000</v>
      </c>
      <c r="J20" s="39">
        <f t="shared" si="4"/>
        <v>20932812.5</v>
      </c>
      <c r="K20" s="41">
        <f t="shared" si="5"/>
        <v>0.2959214275003749</v>
      </c>
      <c r="L20" s="41">
        <f t="shared" si="6"/>
        <v>0.18832939721097616</v>
      </c>
      <c r="M20" s="42">
        <f t="shared" si="7"/>
        <v>0.26302812208449955</v>
      </c>
      <c r="N20" s="42">
        <f t="shared" si="8"/>
        <v>0.1673955417832867</v>
      </c>
    </row>
    <row r="21" spans="1:14" ht="12.75">
      <c r="A21" s="26">
        <v>2024</v>
      </c>
      <c r="B21" s="27">
        <f>U11*1000000</f>
        <v>180000000</v>
      </c>
      <c r="C21" s="28">
        <f>C20</f>
        <v>111150000</v>
      </c>
      <c r="D21" s="28">
        <f t="shared" si="0"/>
        <v>68850000</v>
      </c>
      <c r="E21" s="28">
        <f t="shared" si="10"/>
        <v>738700000</v>
      </c>
      <c r="F21" s="39">
        <f t="shared" si="1"/>
        <v>43452941.176470585</v>
      </c>
      <c r="H21" s="47">
        <f t="shared" si="2"/>
        <v>34425000</v>
      </c>
      <c r="I21" s="28">
        <f t="shared" si="3"/>
        <v>369350000</v>
      </c>
      <c r="J21" s="39">
        <f t="shared" si="4"/>
        <v>21726470.588235293</v>
      </c>
      <c r="K21" s="41">
        <f t="shared" si="5"/>
        <v>0.3097165991902834</v>
      </c>
      <c r="L21" s="41">
        <f t="shared" si="6"/>
        <v>0.19546982085681774</v>
      </c>
      <c r="M21" s="42">
        <f t="shared" si="7"/>
        <v>0.27528988404638144</v>
      </c>
      <c r="N21" s="42">
        <f t="shared" si="8"/>
        <v>0.17374226779876284</v>
      </c>
    </row>
    <row r="22" ht="12.75">
      <c r="C22" s="55"/>
    </row>
    <row r="24" spans="4:30" ht="12.75">
      <c r="D24" s="57"/>
      <c r="M24" s="3" t="s">
        <v>23</v>
      </c>
      <c r="N24" s="58"/>
      <c r="X24" s="62"/>
      <c r="Y24" s="62"/>
      <c r="Z24" s="62"/>
      <c r="AA24" s="62"/>
      <c r="AB24" s="62"/>
      <c r="AC24" s="62"/>
      <c r="AD24" s="62"/>
    </row>
    <row r="25" spans="4:30" ht="12.75">
      <c r="D25" s="57"/>
      <c r="L25" s="59">
        <f>SUM(H5:H10)/6</f>
        <v>10941666.666666662</v>
      </c>
      <c r="M25" s="60" t="s">
        <v>24</v>
      </c>
      <c r="N25" s="61"/>
      <c r="X25" s="62"/>
      <c r="Y25" s="62"/>
      <c r="Z25" s="62"/>
      <c r="AA25" s="62"/>
      <c r="AB25" s="62"/>
      <c r="AC25" s="62"/>
      <c r="AD25" s="62"/>
    </row>
    <row r="26" spans="4:14" ht="12.75">
      <c r="D26" s="57"/>
      <c r="L26" s="59">
        <f>SUM(H11:H17)/7</f>
        <v>25028571.42857143</v>
      </c>
      <c r="M26" s="60" t="s">
        <v>25</v>
      </c>
      <c r="N26" s="61"/>
    </row>
    <row r="27" spans="4:14" ht="12.75">
      <c r="D27" s="57"/>
      <c r="L27" s="59">
        <f>SUM(H18:H21)/4</f>
        <v>32125000</v>
      </c>
      <c r="M27" s="60" t="s">
        <v>26</v>
      </c>
      <c r="N27" s="63"/>
    </row>
    <row r="28" ht="12.75">
      <c r="D28" s="57"/>
    </row>
    <row r="29" ht="12.75">
      <c r="D29" s="57"/>
    </row>
    <row r="30" ht="12.75">
      <c r="D30" s="57"/>
    </row>
    <row r="31" ht="12.75">
      <c r="D31" s="57"/>
    </row>
  </sheetData>
  <mergeCells count="1">
    <mergeCell ref="S3:U3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ICF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c400-6-19-02</dc:creator>
  <cp:keywords/>
  <dc:description/>
  <cp:lastModifiedBy>NJDEP</cp:lastModifiedBy>
  <dcterms:created xsi:type="dcterms:W3CDTF">2005-09-22T14:22:17Z</dcterms:created>
  <dcterms:modified xsi:type="dcterms:W3CDTF">2005-09-22T16:32:51Z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